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24226"/>
  <mc:AlternateContent xmlns:mc="http://schemas.openxmlformats.org/markup-compatibility/2006">
    <mc:Choice Requires="x15">
      <x15ac:absPath xmlns:x15ac="http://schemas.microsoft.com/office/spreadsheetml/2010/11/ac" url="C:\JDVA\デフカップ関係\R6年デフカップ川崎大会\"/>
    </mc:Choice>
  </mc:AlternateContent>
  <xr:revisionPtr revIDLastSave="0" documentId="8_{4A4DA601-E527-4A86-9A39-B4D70736C946}" xr6:coauthVersionLast="47" xr6:coauthVersionMax="47" xr10:uidLastSave="{00000000-0000-0000-0000-000000000000}"/>
  <workbookProtection workbookPassword="F1A6" lockStructure="1"/>
  <bookViews>
    <workbookView xWindow="495" yWindow="720" windowWidth="21600" windowHeight="13665" tabRatio="728" firstSheet="2" activeTab="2" xr2:uid="{00000000-000D-0000-FFFF-FFFF00000000}"/>
  </bookViews>
  <sheets>
    <sheet name="MY_NAME_DEF" sheetId="2" state="hidden" r:id="rId1"/>
    <sheet name="MY_MATRIX" sheetId="8" state="hidden" r:id="rId2"/>
    <sheet name="ファイルの説明" sheetId="9" r:id="rId3"/>
    <sheet name="参加者登録申込書" sheetId="11" r:id="rId4"/>
    <sheet name="①大会参加申込書" sheetId="5" r:id="rId5"/>
    <sheet name="②選手登録名簿" sheetId="1" r:id="rId6"/>
    <sheet name="③出場者一覧" sheetId="6" r:id="rId7"/>
    <sheet name="④診断リスト" sheetId="7" r:id="rId8"/>
    <sheet name="⑤傷害保険加入者一覧" sheetId="10" state="hidden" r:id="rId9"/>
    <sheet name="【自動入力】エントリーシート" sheetId="14" r:id="rId10"/>
    <sheet name="背番号変更名簿" sheetId="15" r:id="rId11"/>
  </sheets>
  <externalReferences>
    <externalReference r:id="rId12"/>
  </externalReferences>
  <definedNames>
    <definedName name="JDVA会員登録状況" localSheetId="9">[1]MY_NAME_DEF!$B$12:$B$15</definedName>
    <definedName name="JDVA会員登録状況">MY_NAME_DEF!$B$12:$B$15</definedName>
    <definedName name="ＰＣドメイン候補" localSheetId="9">[1]MY_NAME_DEF!$E$31:$E$38</definedName>
    <definedName name="ＰＣドメイン候補">MY_NAME_DEF!$E$31:$E$38</definedName>
    <definedName name="ＰＣ携帯ドメイン候補" localSheetId="9">[1]MY_NAME_DEF!$F$31:$F$44</definedName>
    <definedName name="ＰＣ携帯ドメイン候補">MY_NAME_DEF!$F$31:$F$44</definedName>
    <definedName name="_xlnm.Print_Area" localSheetId="9">【自動入力】エントリーシート!$A$2:$R$59</definedName>
    <definedName name="_xlnm.Print_Area" localSheetId="4">①大会参加申込書!$B$1:$T$62</definedName>
    <definedName name="_xlnm.Print_Area" localSheetId="5">②選手登録名簿!$B$1:$R$42</definedName>
    <definedName name="_xlnm.Print_Area" localSheetId="6">③出場者一覧!$B$1:$I$25</definedName>
    <definedName name="_xlnm.Print_Area" localSheetId="7">④診断リスト!$B$1:$AJ$63</definedName>
    <definedName name="_xlnm.Print_Area" localSheetId="8">⑤傷害保険加入者一覧!$B$1:$AJ$32</definedName>
    <definedName name="_xlnm.Print_Area" localSheetId="2">ファイルの説明!$B$2:$AL$281</definedName>
    <definedName name="_xlnm.Print_Area" localSheetId="3">参加者登録申込書!$B$1:$BD$60</definedName>
    <definedName name="_xlnm.Print_Area" localSheetId="10">背番号変更名簿!$A$1:$K$30</definedName>
    <definedName name="_xlnm.Print_Titles" localSheetId="5">②選手登録名簿!$1:$2</definedName>
    <definedName name="_xlnm.Print_Titles" localSheetId="3">参加者登録申込書!$16:$17</definedName>
    <definedName name="スタッフ選択0">MY_NAME_DEF!$V$5:$V$9</definedName>
    <definedName name="スタッフ選択1">MY_NAME_DEF!$U$5:$U$8</definedName>
    <definedName name="スタッフ選択10">MY_NAME_DEF!$L$5:$L$7</definedName>
    <definedName name="スタッフ選択11">MY_NAME_DEF!$K$5:$K$6</definedName>
    <definedName name="スタッフ選択12">MY_NAME_DEF!$J$5:$J$7</definedName>
    <definedName name="スタッフ選択13">MY_NAME_DEF!$I$5:$I$6</definedName>
    <definedName name="スタッフ選択14">MY_NAME_DEF!$H$5:$H$6</definedName>
    <definedName name="スタッフ選択15">MY_NAME_DEF!$G$5</definedName>
    <definedName name="スタッフ選択2">MY_NAME_DEF!$T$5:$T$8</definedName>
    <definedName name="スタッフ選択3">MY_NAME_DEF!$S$5:$S$7</definedName>
    <definedName name="スタッフ選択4">MY_NAME_DEF!$R$5:$R$8</definedName>
    <definedName name="スタッフ選択5">MY_NAME_DEF!$Q$5:$Q$7</definedName>
    <definedName name="スタッフ選択6">MY_NAME_DEF!$P$5:$P$7</definedName>
    <definedName name="スタッフ選択7">MY_NAME_DEF!$O$5:$O$6</definedName>
    <definedName name="スタッフ選択8">MY_NAME_DEF!$N$5:$N$8</definedName>
    <definedName name="スタッフ選択9">MY_NAME_DEF!$M$5:$M$7</definedName>
    <definedName name="チーム構成" localSheetId="9">[1]MY_NAME_DEF!$B$21:$B$22</definedName>
    <definedName name="チーム構成">MY_NAME_DEF!$B$21:$B$22</definedName>
    <definedName name="会員区分" localSheetId="9">[1]MY_NAME_DEF!$B$31:$B$34</definedName>
    <definedName name="会員区分">MY_NAME_DEF!$B$31:$B$34</definedName>
    <definedName name="会費" localSheetId="9">[1]MY_NAME_DEF!$B$5:$B$8</definedName>
    <definedName name="会費">MY_NAME_DEF!$B$5:$B$8</definedName>
    <definedName name="携帯ドメイン候補" localSheetId="9">[1]MY_NAME_DEF!$D$31:$D$39</definedName>
    <definedName name="携帯ドメイン候補">MY_NAME_DEF!$D$31:$D$39</definedName>
    <definedName name="県名" localSheetId="9">[1]MY_MATRIX!$H$4:$H$50</definedName>
    <definedName name="県名">MY_MATRIX!$H$4:$H$50</definedName>
    <definedName name="参加料">MY_NAME_DEF!$D$5:$D$7</definedName>
    <definedName name="参加料スタッフのみ">MY_NAME_DEF!$D$12:$D$13</definedName>
    <definedName name="選択なし">MY_NAME_DEF!$D$16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15" l="1"/>
  <c r="M21" i="15"/>
  <c r="M20" i="15"/>
  <c r="M19" i="15"/>
  <c r="M18" i="15"/>
  <c r="M17" i="15"/>
  <c r="M16" i="15"/>
  <c r="M15" i="15"/>
  <c r="M14" i="15"/>
  <c r="M13" i="15"/>
  <c r="M12" i="15"/>
  <c r="M11" i="15"/>
  <c r="M10" i="15"/>
  <c r="M9" i="15"/>
  <c r="AO39" i="1" l="1"/>
  <c r="AO38" i="1"/>
  <c r="AO37" i="1"/>
  <c r="AO36" i="1"/>
  <c r="AO35" i="1"/>
  <c r="AO34" i="1"/>
  <c r="AO33" i="1"/>
  <c r="AO32" i="1"/>
  <c r="AO31" i="1"/>
  <c r="AO30" i="1"/>
  <c r="AO29" i="1"/>
  <c r="AO28" i="1"/>
  <c r="AO27" i="1"/>
  <c r="AO26" i="1"/>
  <c r="AO25" i="1"/>
  <c r="AO24" i="1"/>
  <c r="AO23" i="1"/>
  <c r="AO22" i="1"/>
  <c r="I3" i="15" l="1"/>
  <c r="D3" i="15"/>
  <c r="M36" i="5" l="1"/>
  <c r="M35" i="5"/>
  <c r="M34" i="5"/>
  <c r="BD20" i="11" l="1"/>
  <c r="CA55" i="11"/>
  <c r="BA55" i="11" s="1"/>
  <c r="CO55" i="11" s="1"/>
  <c r="CA53" i="11"/>
  <c r="CA51" i="11"/>
  <c r="BA51" i="11" s="1"/>
  <c r="CO51" i="11" s="1"/>
  <c r="CA49" i="11"/>
  <c r="CA47" i="11"/>
  <c r="CA45" i="11"/>
  <c r="CA43" i="11"/>
  <c r="CA41" i="11"/>
  <c r="CA39" i="11"/>
  <c r="CA37" i="11"/>
  <c r="BA37" i="11" s="1"/>
  <c r="CO37" i="11" s="1"/>
  <c r="CA35" i="11"/>
  <c r="BA35" i="11" s="1"/>
  <c r="CO35" i="11" s="1"/>
  <c r="CA33" i="11"/>
  <c r="BA33" i="11" s="1"/>
  <c r="CO33" i="11" s="1"/>
  <c r="CA31" i="11"/>
  <c r="CA29" i="11"/>
  <c r="BA29" i="11" s="1"/>
  <c r="CO29" i="11" s="1"/>
  <c r="CA27" i="11"/>
  <c r="BA27" i="11" s="1"/>
  <c r="CO27" i="11" s="1"/>
  <c r="CA25" i="11"/>
  <c r="BA25" i="11" s="1"/>
  <c r="CO25" i="11" s="1"/>
  <c r="CA23" i="11"/>
  <c r="BA23" i="11" s="1"/>
  <c r="CO23" i="11" s="1"/>
  <c r="CA21" i="11"/>
  <c r="BA21" i="11" s="1"/>
  <c r="CO21" i="11" s="1"/>
  <c r="CA18" i="11"/>
  <c r="BA18" i="11" s="1"/>
  <c r="I24" i="6"/>
  <c r="O42" i="1"/>
  <c r="L9" i="5"/>
  <c r="AM11" i="7" s="1"/>
  <c r="K11" i="7" s="1"/>
  <c r="CP59" i="11"/>
  <c r="CP57" i="11"/>
  <c r="AB8" i="11"/>
  <c r="CP55" i="11"/>
  <c r="CP53" i="11"/>
  <c r="CP51" i="11"/>
  <c r="CP49" i="11"/>
  <c r="CP47" i="11"/>
  <c r="CP45" i="11"/>
  <c r="CP43" i="11"/>
  <c r="CP41" i="11"/>
  <c r="CP39" i="11"/>
  <c r="CP37" i="11"/>
  <c r="CP35" i="11"/>
  <c r="CP33" i="11"/>
  <c r="CP31" i="11"/>
  <c r="CP29" i="11"/>
  <c r="CP27" i="11"/>
  <c r="CP25" i="11"/>
  <c r="CP23" i="11"/>
  <c r="CP21" i="11"/>
  <c r="BJ21" i="1"/>
  <c r="AS40" i="7" s="1"/>
  <c r="AM44" i="7" s="1"/>
  <c r="B1" i="6"/>
  <c r="M57" i="5"/>
  <c r="Q57" i="5" s="1"/>
  <c r="D25" i="5"/>
  <c r="D24" i="5"/>
  <c r="D23" i="5"/>
  <c r="D22" i="5"/>
  <c r="D21" i="5"/>
  <c r="E5" i="1"/>
  <c r="T56" i="11"/>
  <c r="CJ55" i="11" s="1"/>
  <c r="T54" i="11"/>
  <c r="CJ53" i="11" s="1"/>
  <c r="T52" i="11"/>
  <c r="CJ51" i="11" s="1"/>
  <c r="T50" i="11"/>
  <c r="CJ49" i="11" s="1"/>
  <c r="T48" i="11"/>
  <c r="CJ47" i="11" s="1"/>
  <c r="T46" i="11"/>
  <c r="CJ45" i="11" s="1"/>
  <c r="T44" i="11"/>
  <c r="CJ43" i="11" s="1"/>
  <c r="T42" i="11"/>
  <c r="CJ41" i="11" s="1"/>
  <c r="T40" i="11"/>
  <c r="CJ39" i="11" s="1"/>
  <c r="T38" i="11"/>
  <c r="CJ37" i="11" s="1"/>
  <c r="T36" i="11"/>
  <c r="CJ35" i="11" s="1"/>
  <c r="T34" i="11"/>
  <c r="CJ33" i="11" s="1"/>
  <c r="T32" i="11"/>
  <c r="CJ31" i="11" s="1"/>
  <c r="T30" i="11"/>
  <c r="CJ29" i="11" s="1"/>
  <c r="T28" i="11"/>
  <c r="CJ27" i="11" s="1"/>
  <c r="T26" i="11"/>
  <c r="CJ25" i="11" s="1"/>
  <c r="T24" i="11"/>
  <c r="CJ23" i="11" s="1"/>
  <c r="F13" i="5"/>
  <c r="F12" i="5"/>
  <c r="F11" i="5"/>
  <c r="AM13" i="7" s="1"/>
  <c r="K13" i="7" s="1"/>
  <c r="F10" i="5"/>
  <c r="AM12" i="7" s="1"/>
  <c r="K12" i="7" s="1"/>
  <c r="AF19" i="1"/>
  <c r="AE19" i="1"/>
  <c r="AD19" i="1"/>
  <c r="AC19" i="1"/>
  <c r="AA25" i="1"/>
  <c r="AN38" i="7" s="1"/>
  <c r="T22" i="11"/>
  <c r="CJ21" i="11" s="1"/>
  <c r="AQ25" i="10"/>
  <c r="AQ24" i="10"/>
  <c r="AS24" i="10" s="1"/>
  <c r="BH39" i="1"/>
  <c r="AT39" i="1"/>
  <c r="AQ39" i="1"/>
  <c r="BK39" i="1" s="1"/>
  <c r="AM39" i="1"/>
  <c r="AL39" i="1"/>
  <c r="AK39" i="1"/>
  <c r="AJ39" i="1"/>
  <c r="AI39" i="1"/>
  <c r="V39" i="1"/>
  <c r="U39" i="1"/>
  <c r="BH38" i="1"/>
  <c r="AT38" i="1"/>
  <c r="AQ38" i="1"/>
  <c r="BK38" i="1" s="1"/>
  <c r="AM38" i="1"/>
  <c r="AL38" i="1"/>
  <c r="AK38" i="1"/>
  <c r="AJ38" i="1"/>
  <c r="AI38" i="1"/>
  <c r="V38" i="1"/>
  <c r="U38" i="1"/>
  <c r="U37" i="1"/>
  <c r="T60" i="11"/>
  <c r="CJ59" i="11" s="1"/>
  <c r="T58" i="11"/>
  <c r="CJ57" i="11" s="1"/>
  <c r="H9" i="5"/>
  <c r="F9" i="5"/>
  <c r="E8" i="5"/>
  <c r="E7" i="5"/>
  <c r="R6" i="5"/>
  <c r="AM8" i="7" s="1"/>
  <c r="K8" i="7" s="1"/>
  <c r="D6" i="5"/>
  <c r="G3" i="10" s="1"/>
  <c r="BA59" i="11"/>
  <c r="CO59" i="11" s="1"/>
  <c r="BA57" i="11"/>
  <c r="CO57" i="11" s="1"/>
  <c r="BA53" i="11"/>
  <c r="CO53" i="11" s="1"/>
  <c r="BA49" i="11"/>
  <c r="CO49" i="11" s="1"/>
  <c r="BA47" i="11"/>
  <c r="CO47" i="11" s="1"/>
  <c r="BA45" i="11"/>
  <c r="CO45" i="11" s="1"/>
  <c r="BA43" i="11"/>
  <c r="CO43" i="11" s="1"/>
  <c r="BA41" i="11"/>
  <c r="CO41" i="11" s="1"/>
  <c r="BA39" i="11"/>
  <c r="CO39" i="11" s="1"/>
  <c r="BA31" i="11"/>
  <c r="CO31" i="11" s="1"/>
  <c r="CN57" i="11"/>
  <c r="CN59" i="11"/>
  <c r="CM57" i="11"/>
  <c r="CM59" i="11"/>
  <c r="CI23" i="11"/>
  <c r="CI25" i="11"/>
  <c r="CI27" i="11"/>
  <c r="CI29" i="11"/>
  <c r="CI31" i="11"/>
  <c r="CI33" i="11"/>
  <c r="CI35" i="11"/>
  <c r="CI37" i="11"/>
  <c r="CI39" i="11"/>
  <c r="CI41" i="11"/>
  <c r="CI43" i="11"/>
  <c r="CI45" i="11"/>
  <c r="CI47" i="11"/>
  <c r="CI49" i="11"/>
  <c r="CI51" i="11"/>
  <c r="CI53" i="11"/>
  <c r="CI55" i="11"/>
  <c r="CI57" i="11"/>
  <c r="CI59" i="11"/>
  <c r="CI21" i="11"/>
  <c r="CB23" i="11"/>
  <c r="CC23" i="11"/>
  <c r="CD23" i="11"/>
  <c r="CE23" i="11"/>
  <c r="CF23" i="11"/>
  <c r="CG23" i="11"/>
  <c r="CB25" i="11"/>
  <c r="CC25" i="11"/>
  <c r="CD25" i="11"/>
  <c r="CE25" i="11"/>
  <c r="CF25" i="11"/>
  <c r="CG25" i="11"/>
  <c r="CB27" i="11"/>
  <c r="CC27" i="11"/>
  <c r="CD27" i="11"/>
  <c r="CE27" i="11"/>
  <c r="CF27" i="11"/>
  <c r="CG27" i="11"/>
  <c r="CB29" i="11"/>
  <c r="CC29" i="11"/>
  <c r="CD29" i="11"/>
  <c r="CE29" i="11"/>
  <c r="CF29" i="11"/>
  <c r="CG29" i="11"/>
  <c r="CB31" i="11"/>
  <c r="CC31" i="11"/>
  <c r="CD31" i="11"/>
  <c r="CE31" i="11"/>
  <c r="CF31" i="11"/>
  <c r="CG31" i="11"/>
  <c r="CB33" i="11"/>
  <c r="CC33" i="11"/>
  <c r="CD33" i="11"/>
  <c r="CE33" i="11"/>
  <c r="CF33" i="11"/>
  <c r="CG33" i="11"/>
  <c r="CB35" i="11"/>
  <c r="CC35" i="11"/>
  <c r="CD35" i="11"/>
  <c r="CE35" i="11"/>
  <c r="CF35" i="11"/>
  <c r="CG35" i="11"/>
  <c r="CB37" i="11"/>
  <c r="CC37" i="11"/>
  <c r="CD37" i="11"/>
  <c r="CE37" i="11"/>
  <c r="CF37" i="11"/>
  <c r="CG37" i="11"/>
  <c r="CB39" i="11"/>
  <c r="CC39" i="11"/>
  <c r="CD39" i="11"/>
  <c r="CE39" i="11"/>
  <c r="CF39" i="11"/>
  <c r="CG39" i="11"/>
  <c r="CB41" i="11"/>
  <c r="CC41" i="11"/>
  <c r="CD41" i="11"/>
  <c r="CE41" i="11"/>
  <c r="CF41" i="11"/>
  <c r="CG41" i="11"/>
  <c r="CB43" i="11"/>
  <c r="CC43" i="11"/>
  <c r="CD43" i="11"/>
  <c r="CE43" i="11"/>
  <c r="CF43" i="11"/>
  <c r="CG43" i="11"/>
  <c r="CB45" i="11"/>
  <c r="CC45" i="11"/>
  <c r="CD45" i="11"/>
  <c r="CE45" i="11"/>
  <c r="CF45" i="11"/>
  <c r="CG45" i="11"/>
  <c r="CB47" i="11"/>
  <c r="CC47" i="11"/>
  <c r="CD47" i="11"/>
  <c r="CE47" i="11"/>
  <c r="CF47" i="11"/>
  <c r="CG47" i="11"/>
  <c r="CB49" i="11"/>
  <c r="CC49" i="11"/>
  <c r="CD49" i="11"/>
  <c r="CE49" i="11"/>
  <c r="CF49" i="11"/>
  <c r="CG49" i="11"/>
  <c r="CB51" i="11"/>
  <c r="CC51" i="11"/>
  <c r="CD51" i="11"/>
  <c r="CE51" i="11"/>
  <c r="CF51" i="11"/>
  <c r="CG51" i="11"/>
  <c r="CB53" i="11"/>
  <c r="CC53" i="11"/>
  <c r="CD53" i="11"/>
  <c r="CE53" i="11"/>
  <c r="CF53" i="11"/>
  <c r="CG53" i="11"/>
  <c r="CB55" i="11"/>
  <c r="CC55" i="11"/>
  <c r="CD55" i="11"/>
  <c r="CE55" i="11"/>
  <c r="CF55" i="11"/>
  <c r="CG55" i="11"/>
  <c r="CB57" i="11"/>
  <c r="CC57" i="11"/>
  <c r="CD57" i="11"/>
  <c r="CE57" i="11"/>
  <c r="CF57" i="11"/>
  <c r="CG57" i="11"/>
  <c r="CL57" i="11"/>
  <c r="CB59" i="11"/>
  <c r="CC59" i="11"/>
  <c r="CD59" i="11"/>
  <c r="CE59" i="11"/>
  <c r="CF59" i="11"/>
  <c r="CG59" i="11"/>
  <c r="CL59" i="11"/>
  <c r="CG21" i="11"/>
  <c r="CF21" i="11"/>
  <c r="CE21" i="11"/>
  <c r="CD21" i="11"/>
  <c r="CC21" i="11"/>
  <c r="CB21" i="11"/>
  <c r="T19" i="11"/>
  <c r="AZ9" i="11"/>
  <c r="BH23" i="1"/>
  <c r="BH24" i="1"/>
  <c r="BH25" i="1"/>
  <c r="BH26" i="1"/>
  <c r="BH27" i="1"/>
  <c r="BH28" i="1"/>
  <c r="BH29" i="1"/>
  <c r="BH30" i="1"/>
  <c r="BH31" i="1"/>
  <c r="BH32" i="1"/>
  <c r="BH33" i="1"/>
  <c r="BH34" i="1"/>
  <c r="BH35" i="1"/>
  <c r="BH36" i="1"/>
  <c r="BH37" i="1"/>
  <c r="BH40" i="1"/>
  <c r="BH41" i="1"/>
  <c r="BH22" i="1"/>
  <c r="U22" i="1"/>
  <c r="AQ9" i="10"/>
  <c r="AQ10" i="10"/>
  <c r="AU10" i="10" s="1"/>
  <c r="AQ11" i="10"/>
  <c r="AR11" i="10" s="1"/>
  <c r="AQ12" i="10"/>
  <c r="AR12" i="10" s="1"/>
  <c r="AQ13" i="10"/>
  <c r="AT13" i="10" s="1"/>
  <c r="AQ14" i="10"/>
  <c r="AR14" i="10" s="1"/>
  <c r="AQ15" i="10"/>
  <c r="AT15" i="10" s="1"/>
  <c r="AQ16" i="10"/>
  <c r="AU16" i="10" s="1"/>
  <c r="AQ17" i="10"/>
  <c r="AR17" i="10" s="1"/>
  <c r="AQ18" i="10"/>
  <c r="AR18" i="10" s="1"/>
  <c r="AQ19" i="10"/>
  <c r="AR19" i="10" s="1"/>
  <c r="AQ20" i="10"/>
  <c r="AS20" i="10" s="1"/>
  <c r="AQ21" i="10"/>
  <c r="AS21" i="10" s="1"/>
  <c r="AQ22" i="10"/>
  <c r="AR22" i="10" s="1"/>
  <c r="AQ23" i="10"/>
  <c r="AT23" i="10" s="1"/>
  <c r="AQ8" i="10"/>
  <c r="AS8" i="10" s="1"/>
  <c r="Y7" i="10"/>
  <c r="B1" i="10"/>
  <c r="U23" i="1"/>
  <c r="U24" i="1"/>
  <c r="U25" i="1"/>
  <c r="U26" i="1"/>
  <c r="U27" i="1"/>
  <c r="U28" i="1"/>
  <c r="U29" i="1"/>
  <c r="U30" i="1"/>
  <c r="U31" i="1"/>
  <c r="U32" i="1"/>
  <c r="U33" i="1"/>
  <c r="U34" i="1"/>
  <c r="U35" i="1"/>
  <c r="U36" i="1"/>
  <c r="V23" i="1"/>
  <c r="V24" i="1"/>
  <c r="V25" i="1"/>
  <c r="V26" i="1"/>
  <c r="V27" i="1"/>
  <c r="V28" i="1"/>
  <c r="V29" i="1"/>
  <c r="V30" i="1"/>
  <c r="V31" i="1"/>
  <c r="V32" i="1"/>
  <c r="V33" i="1"/>
  <c r="V34" i="1"/>
  <c r="V35" i="1"/>
  <c r="V36" i="1"/>
  <c r="V37" i="1"/>
  <c r="V22" i="1"/>
  <c r="AT23" i="1"/>
  <c r="AT24" i="1"/>
  <c r="AT25" i="1"/>
  <c r="AT26" i="1"/>
  <c r="AT27" i="1"/>
  <c r="AT28" i="1"/>
  <c r="AT29" i="1"/>
  <c r="AT30" i="1"/>
  <c r="AT31" i="1"/>
  <c r="AT32" i="1"/>
  <c r="AT33" i="1"/>
  <c r="AT34" i="1"/>
  <c r="AT35" i="1"/>
  <c r="AT36" i="1"/>
  <c r="AT37" i="1"/>
  <c r="AT22" i="1"/>
  <c r="B1" i="7"/>
  <c r="AQ23" i="1"/>
  <c r="BK23" i="1" s="1"/>
  <c r="AQ24" i="1"/>
  <c r="BK24" i="1" s="1"/>
  <c r="AQ25" i="1"/>
  <c r="BK25" i="1" s="1"/>
  <c r="AQ26" i="1"/>
  <c r="AQ27" i="1"/>
  <c r="BK27" i="1" s="1"/>
  <c r="AQ28" i="1"/>
  <c r="BK28" i="1" s="1"/>
  <c r="AQ29" i="1"/>
  <c r="BK29" i="1" s="1"/>
  <c r="AQ30" i="1"/>
  <c r="BK30" i="1" s="1"/>
  <c r="AQ31" i="1"/>
  <c r="BK31" i="1"/>
  <c r="AQ32" i="1"/>
  <c r="BK32" i="1" s="1"/>
  <c r="AQ33" i="1"/>
  <c r="BK33" i="1" s="1"/>
  <c r="AQ34" i="1"/>
  <c r="BK34" i="1" s="1"/>
  <c r="AQ35" i="1"/>
  <c r="BK35" i="1" s="1"/>
  <c r="AQ36" i="1"/>
  <c r="BK36" i="1" s="1"/>
  <c r="AQ37" i="1"/>
  <c r="BK37" i="1" s="1"/>
  <c r="AQ22" i="1"/>
  <c r="BK22" i="1" s="1"/>
  <c r="AB1" i="6"/>
  <c r="B1" i="1"/>
  <c r="AM23" i="1"/>
  <c r="AM24" i="1"/>
  <c r="AM25" i="1"/>
  <c r="AM26" i="1"/>
  <c r="AM27" i="1"/>
  <c r="AM28" i="1"/>
  <c r="AM29" i="1"/>
  <c r="AM30" i="1"/>
  <c r="AM31" i="1"/>
  <c r="AM32" i="1"/>
  <c r="AM33" i="1"/>
  <c r="AM34" i="1"/>
  <c r="AM35" i="1"/>
  <c r="AM36" i="1"/>
  <c r="AM37" i="1"/>
  <c r="AM22" i="1"/>
  <c r="AL23" i="1"/>
  <c r="AL24" i="1"/>
  <c r="AL25" i="1"/>
  <c r="AL26" i="1"/>
  <c r="AL27" i="1"/>
  <c r="AL28" i="1"/>
  <c r="AL29" i="1"/>
  <c r="AL30" i="1"/>
  <c r="AL31" i="1"/>
  <c r="AL32" i="1"/>
  <c r="AL33" i="1"/>
  <c r="AL34" i="1"/>
  <c r="AL35" i="1"/>
  <c r="AL36" i="1"/>
  <c r="AL37" i="1"/>
  <c r="AL22" i="1"/>
  <c r="AK23" i="1"/>
  <c r="AK24" i="1"/>
  <c r="AK25" i="1"/>
  <c r="AK26" i="1"/>
  <c r="AK27" i="1"/>
  <c r="AK28" i="1"/>
  <c r="AK29" i="1"/>
  <c r="AK30" i="1"/>
  <c r="AK31" i="1"/>
  <c r="AK32" i="1"/>
  <c r="AK33" i="1"/>
  <c r="AK34" i="1"/>
  <c r="AK35" i="1"/>
  <c r="AK36" i="1"/>
  <c r="AK37" i="1"/>
  <c r="AK22" i="1"/>
  <c r="AJ23" i="1"/>
  <c r="AJ24" i="1"/>
  <c r="AJ25" i="1"/>
  <c r="AJ26" i="1"/>
  <c r="AJ27" i="1"/>
  <c r="AJ28" i="1"/>
  <c r="AJ29" i="1"/>
  <c r="AJ30" i="1"/>
  <c r="AJ31" i="1"/>
  <c r="AJ32" i="1"/>
  <c r="AJ33" i="1"/>
  <c r="AJ34" i="1"/>
  <c r="AJ35" i="1"/>
  <c r="AJ36" i="1"/>
  <c r="AJ37" i="1"/>
  <c r="AJ22" i="1"/>
  <c r="AI23" i="1"/>
  <c r="AI24" i="1"/>
  <c r="AI25" i="1"/>
  <c r="AI26" i="1"/>
  <c r="AI27" i="1"/>
  <c r="AI28" i="1"/>
  <c r="AI29" i="1"/>
  <c r="AI30" i="1"/>
  <c r="AI31" i="1"/>
  <c r="AI32" i="1"/>
  <c r="AI33" i="1"/>
  <c r="AI34" i="1"/>
  <c r="AI35" i="1"/>
  <c r="AI36" i="1"/>
  <c r="AI37" i="1"/>
  <c r="AI22" i="1"/>
  <c r="AU14" i="10"/>
  <c r="AT19" i="10"/>
  <c r="AS19" i="10"/>
  <c r="AS12" i="10"/>
  <c r="AU23" i="10"/>
  <c r="AR23" i="10"/>
  <c r="AT9" i="10"/>
  <c r="M38" i="5"/>
  <c r="AT21" i="10" l="1"/>
  <c r="M37" i="5"/>
  <c r="AU12" i="10"/>
  <c r="AN14" i="7"/>
  <c r="AO14" i="7" s="1"/>
  <c r="AM14" i="7" s="1"/>
  <c r="K14" i="7" s="1"/>
  <c r="Q9" i="5"/>
  <c r="AD3" i="6"/>
  <c r="D3" i="6" s="1"/>
  <c r="N4" i="14" s="1"/>
  <c r="AM7" i="7"/>
  <c r="K7" i="7" s="1"/>
  <c r="AT18" i="10"/>
  <c r="K35" i="1"/>
  <c r="AS23" i="10"/>
  <c r="AS14" i="10"/>
  <c r="AT14" i="10"/>
  <c r="AU19" i="10"/>
  <c r="AU17" i="10"/>
  <c r="CH21" i="11"/>
  <c r="D22" i="1" s="1"/>
  <c r="AP22" i="1" s="1"/>
  <c r="AU22" i="1" s="1"/>
  <c r="AU8" i="10"/>
  <c r="CH37" i="11"/>
  <c r="Y12" i="10"/>
  <c r="AS11" i="10"/>
  <c r="AS18" i="10"/>
  <c r="K22" i="1"/>
  <c r="AU18" i="10"/>
  <c r="CH25" i="11"/>
  <c r="D24" i="1" s="1"/>
  <c r="AS17" i="10"/>
  <c r="AT17" i="10"/>
  <c r="Y11" i="10"/>
  <c r="AU21" i="10"/>
  <c r="AM10" i="7"/>
  <c r="K10" i="7" s="1"/>
  <c r="CH43" i="11"/>
  <c r="D33" i="1" s="1"/>
  <c r="AR21" i="10"/>
  <c r="I33" i="1"/>
  <c r="AP35" i="7"/>
  <c r="CH49" i="11"/>
  <c r="D36" i="1" s="1"/>
  <c r="CH55" i="11"/>
  <c r="D39" i="1" s="1"/>
  <c r="AP39" i="1" s="1"/>
  <c r="AU39" i="1" s="1"/>
  <c r="CH33" i="11"/>
  <c r="D28" i="1" s="1"/>
  <c r="CH27" i="11"/>
  <c r="D25" i="1" s="1"/>
  <c r="CH23" i="11"/>
  <c r="D23" i="1" s="1"/>
  <c r="AO38" i="7"/>
  <c r="AP38" i="7"/>
  <c r="AX38" i="1"/>
  <c r="AE22" i="6" s="1"/>
  <c r="AD22" i="6" s="1"/>
  <c r="AJ22" i="6" s="1"/>
  <c r="BB37" i="1"/>
  <c r="AI21" i="6" s="1"/>
  <c r="AX37" i="1"/>
  <c r="AE21" i="6" s="1"/>
  <c r="W2" i="1"/>
  <c r="Q34" i="5"/>
  <c r="Q35" i="5"/>
  <c r="Q36" i="5"/>
  <c r="D30" i="1"/>
  <c r="AP30" i="1" s="1"/>
  <c r="CH35" i="11"/>
  <c r="D29" i="1" s="1"/>
  <c r="BB26" i="1"/>
  <c r="AI10" i="6" s="1"/>
  <c r="K32" i="1"/>
  <c r="AX30" i="1"/>
  <c r="AE14" i="6" s="1"/>
  <c r="J16" i="10"/>
  <c r="J36" i="1"/>
  <c r="B24" i="10"/>
  <c r="BB27" i="1"/>
  <c r="AI11" i="6" s="1"/>
  <c r="AX27" i="1"/>
  <c r="AE11" i="6" s="1"/>
  <c r="AK11" i="6" s="1"/>
  <c r="AX31" i="1"/>
  <c r="AE15" i="6" s="1"/>
  <c r="AK15" i="6" s="1"/>
  <c r="BB38" i="1"/>
  <c r="AI22" i="6" s="1"/>
  <c r="K27" i="1"/>
  <c r="B22" i="10"/>
  <c r="AU15" i="10"/>
  <c r="AS16" i="10"/>
  <c r="AS9" i="10"/>
  <c r="AS13" i="10"/>
  <c r="AR10" i="10"/>
  <c r="CH47" i="11"/>
  <c r="D35" i="1" s="1"/>
  <c r="BB39" i="1"/>
  <c r="AI23" i="6" s="1"/>
  <c r="N36" i="1"/>
  <c r="CH57" i="11"/>
  <c r="BB31" i="1"/>
  <c r="AI15" i="6" s="1"/>
  <c r="Y25" i="10"/>
  <c r="R21" i="10"/>
  <c r="AS10" i="10"/>
  <c r="AX39" i="1"/>
  <c r="AE23" i="6" s="1"/>
  <c r="AD23" i="6" s="1"/>
  <c r="AJ23" i="6" s="1"/>
  <c r="AX36" i="1"/>
  <c r="AE20" i="6" s="1"/>
  <c r="AU9" i="10"/>
  <c r="N39" i="1"/>
  <c r="AT10" i="10"/>
  <c r="AX28" i="1"/>
  <c r="AE12" i="6" s="1"/>
  <c r="AK12" i="6" s="1"/>
  <c r="AR9" i="10"/>
  <c r="AT12" i="10"/>
  <c r="AS15" i="10"/>
  <c r="AR24" i="10"/>
  <c r="AR16" i="10"/>
  <c r="AR25" i="10"/>
  <c r="BB33" i="1"/>
  <c r="AI17" i="6" s="1"/>
  <c r="AT20" i="10"/>
  <c r="B13" i="10"/>
  <c r="I25" i="1"/>
  <c r="AT16" i="10"/>
  <c r="AR13" i="10"/>
  <c r="O30" i="1"/>
  <c r="BA34" i="1" s="1"/>
  <c r="AH18" i="6" s="1"/>
  <c r="AX32" i="1"/>
  <c r="AE16" i="6" s="1"/>
  <c r="AR15" i="10"/>
  <c r="I24" i="1"/>
  <c r="AU13" i="10"/>
  <c r="Y23" i="10"/>
  <c r="CH45" i="11"/>
  <c r="D34" i="1" s="1"/>
  <c r="CH39" i="11"/>
  <c r="D31" i="1" s="1"/>
  <c r="CH29" i="11"/>
  <c r="AM15" i="7"/>
  <c r="K15" i="7" s="1"/>
  <c r="O36" i="1"/>
  <c r="B21" i="10"/>
  <c r="W37" i="1"/>
  <c r="J29" i="1"/>
  <c r="BK26" i="1"/>
  <c r="AP40" i="7"/>
  <c r="AL19" i="1"/>
  <c r="K39" i="1"/>
  <c r="L23" i="1"/>
  <c r="L31" i="1"/>
  <c r="N35" i="1"/>
  <c r="J32" i="1"/>
  <c r="J39" i="1"/>
  <c r="I34" i="1"/>
  <c r="L29" i="1"/>
  <c r="N28" i="1"/>
  <c r="K31" i="1"/>
  <c r="W33" i="1"/>
  <c r="I35" i="1"/>
  <c r="K26" i="1"/>
  <c r="O38" i="1"/>
  <c r="I26" i="1"/>
  <c r="K37" i="1"/>
  <c r="I28" i="1"/>
  <c r="J38" i="1"/>
  <c r="N29" i="1"/>
  <c r="K29" i="1"/>
  <c r="J37" i="1"/>
  <c r="I30" i="1"/>
  <c r="N26" i="1"/>
  <c r="L36" i="1"/>
  <c r="O28" i="1"/>
  <c r="BA32" i="1" s="1"/>
  <c r="AH16" i="6" s="1"/>
  <c r="I27" i="1"/>
  <c r="J33" i="1"/>
  <c r="W32" i="1"/>
  <c r="I31" i="1"/>
  <c r="L34" i="1"/>
  <c r="K36" i="1"/>
  <c r="N38" i="1"/>
  <c r="I29" i="1"/>
  <c r="L28" i="1"/>
  <c r="L35" i="1"/>
  <c r="O32" i="1"/>
  <c r="BA36" i="1" s="1"/>
  <c r="AH20" i="6" s="1"/>
  <c r="D26" i="1"/>
  <c r="AU25" i="10"/>
  <c r="AS25" i="10"/>
  <c r="AT25" i="10"/>
  <c r="J17" i="10"/>
  <c r="R17" i="10"/>
  <c r="J19" i="10"/>
  <c r="Y13" i="10"/>
  <c r="Y22" i="10"/>
  <c r="Y17" i="10"/>
  <c r="B17" i="10"/>
  <c r="J25" i="10"/>
  <c r="J15" i="10"/>
  <c r="J9" i="10"/>
  <c r="J11" i="10"/>
  <c r="B9" i="10"/>
  <c r="Y15" i="10"/>
  <c r="J10" i="10"/>
  <c r="Y8" i="10"/>
  <c r="R11" i="10"/>
  <c r="J14" i="10"/>
  <c r="R9" i="10"/>
  <c r="Y19" i="10"/>
  <c r="Y16" i="10"/>
  <c r="R16" i="10"/>
  <c r="Y24" i="10"/>
  <c r="R19" i="10"/>
  <c r="R23" i="10"/>
  <c r="J20" i="10"/>
  <c r="R20" i="10"/>
  <c r="Y9" i="10"/>
  <c r="Y18" i="10"/>
  <c r="B8" i="10"/>
  <c r="R12" i="10"/>
  <c r="AT22" i="10"/>
  <c r="AS22" i="10"/>
  <c r="AU22" i="10"/>
  <c r="W39" i="1"/>
  <c r="W28" i="1"/>
  <c r="W26" i="1"/>
  <c r="O33" i="1"/>
  <c r="BA37" i="1" s="1"/>
  <c r="AH21" i="6" s="1"/>
  <c r="O24" i="1"/>
  <c r="BA28" i="1" s="1"/>
  <c r="AH12" i="6" s="1"/>
  <c r="N24" i="1"/>
  <c r="N22" i="1"/>
  <c r="L24" i="1"/>
  <c r="L25" i="1"/>
  <c r="L26" i="1"/>
  <c r="K33" i="1"/>
  <c r="L39" i="1"/>
  <c r="I22" i="1"/>
  <c r="K25" i="1"/>
  <c r="I32" i="1"/>
  <c r="K34" i="1"/>
  <c r="W36" i="1"/>
  <c r="N37" i="1"/>
  <c r="N25" i="1"/>
  <c r="L30" i="1"/>
  <c r="L37" i="1"/>
  <c r="J24" i="1"/>
  <c r="J35" i="1"/>
  <c r="K28" i="1"/>
  <c r="W24" i="1"/>
  <c r="N32" i="1"/>
  <c r="J34" i="1"/>
  <c r="I38" i="1"/>
  <c r="N31" i="1"/>
  <c r="N30" i="1"/>
  <c r="W30" i="1"/>
  <c r="W23" i="1"/>
  <c r="O39" i="1"/>
  <c r="O31" i="1"/>
  <c r="BA35" i="1" s="1"/>
  <c r="AH19" i="6" s="1"/>
  <c r="O25" i="1"/>
  <c r="BA29" i="1" s="1"/>
  <c r="AH13" i="6" s="1"/>
  <c r="W38" i="1"/>
  <c r="W27" i="1"/>
  <c r="W25" i="1"/>
  <c r="O37" i="1"/>
  <c r="O29" i="1"/>
  <c r="BA33" i="1" s="1"/>
  <c r="AH17" i="6" s="1"/>
  <c r="O26" i="1"/>
  <c r="BA30" i="1" s="1"/>
  <c r="AH14" i="6" s="1"/>
  <c r="O22" i="1"/>
  <c r="O27" i="1"/>
  <c r="BA31" i="1" s="1"/>
  <c r="AH15" i="6" s="1"/>
  <c r="O23" i="1"/>
  <c r="BA27" i="1" s="1"/>
  <c r="AH11" i="6" s="1"/>
  <c r="K24" i="1"/>
  <c r="L33" i="1"/>
  <c r="I39" i="1"/>
  <c r="O35" i="1"/>
  <c r="N33" i="1"/>
  <c r="I23" i="1"/>
  <c r="K23" i="1"/>
  <c r="J26" i="1"/>
  <c r="J22" i="1"/>
  <c r="N23" i="1"/>
  <c r="J25" i="1"/>
  <c r="L22" i="1"/>
  <c r="I37" i="1"/>
  <c r="I36" i="1"/>
  <c r="K30" i="1"/>
  <c r="J27" i="1"/>
  <c r="N27" i="1"/>
  <c r="J28" i="1"/>
  <c r="K38" i="1"/>
  <c r="L27" i="1"/>
  <c r="J31" i="1"/>
  <c r="L38" i="1"/>
  <c r="N34" i="1"/>
  <c r="J30" i="1"/>
  <c r="L32" i="1"/>
  <c r="W35" i="1"/>
  <c r="W29" i="1"/>
  <c r="O34" i="1"/>
  <c r="BA38" i="1" s="1"/>
  <c r="AH22" i="6" s="1"/>
  <c r="W22" i="1"/>
  <c r="J23" i="1"/>
  <c r="W31" i="1"/>
  <c r="W34" i="1"/>
  <c r="BK21" i="1"/>
  <c r="AV40" i="7" s="1"/>
  <c r="BB36" i="1"/>
  <c r="AI20" i="6" s="1"/>
  <c r="BB30" i="1"/>
  <c r="AI14" i="6" s="1"/>
  <c r="BB32" i="1"/>
  <c r="AI16" i="6" s="1"/>
  <c r="AM19" i="1"/>
  <c r="AX34" i="1"/>
  <c r="AE18" i="6" s="1"/>
  <c r="AX33" i="1"/>
  <c r="AE17" i="6" s="1"/>
  <c r="BB29" i="1"/>
  <c r="AI13" i="6" s="1"/>
  <c r="AX35" i="1"/>
  <c r="AE19" i="6" s="1"/>
  <c r="BB35" i="1"/>
  <c r="AI19" i="6" s="1"/>
  <c r="AX29" i="1"/>
  <c r="AE13" i="6" s="1"/>
  <c r="AY41" i="1"/>
  <c r="BB28" i="1"/>
  <c r="AI12" i="6" s="1"/>
  <c r="BB34" i="1"/>
  <c r="AI18" i="6" s="1"/>
  <c r="AY40" i="1"/>
  <c r="AR8" i="10"/>
  <c r="Y14" i="10"/>
  <c r="Y10" i="10"/>
  <c r="Y21" i="10"/>
  <c r="R22" i="10"/>
  <c r="R14" i="10"/>
  <c r="J12" i="10"/>
  <c r="J24" i="10"/>
  <c r="J23" i="10"/>
  <c r="B23" i="10"/>
  <c r="B14" i="10"/>
  <c r="R24" i="10"/>
  <c r="B15" i="10"/>
  <c r="J22" i="10"/>
  <c r="R13" i="10"/>
  <c r="B25" i="10"/>
  <c r="R25" i="10"/>
  <c r="B16" i="10"/>
  <c r="R10" i="10"/>
  <c r="J21" i="10"/>
  <c r="AT8" i="10"/>
  <c r="J13" i="10"/>
  <c r="B10" i="10"/>
  <c r="J18" i="10"/>
  <c r="B19" i="10"/>
  <c r="B20" i="10"/>
  <c r="J8" i="10"/>
  <c r="B18" i="10"/>
  <c r="B12" i="10"/>
  <c r="B11" i="10"/>
  <c r="R8" i="10"/>
  <c r="R18" i="10"/>
  <c r="Y20" i="10"/>
  <c r="R15" i="10"/>
  <c r="CH51" i="11"/>
  <c r="D37" i="1" s="1"/>
  <c r="AN37" i="7"/>
  <c r="AM37" i="7" s="1"/>
  <c r="K37" i="7" s="1"/>
  <c r="CH59" i="11"/>
  <c r="CH53" i="11"/>
  <c r="D38" i="1" s="1"/>
  <c r="CH41" i="11"/>
  <c r="D32" i="1" s="1"/>
  <c r="CH31" i="11"/>
  <c r="D27" i="1" s="1"/>
  <c r="AG19" i="1"/>
  <c r="AT11" i="10"/>
  <c r="AU11" i="10"/>
  <c r="AR20" i="10"/>
  <c r="AU20" i="10"/>
  <c r="AU24" i="10"/>
  <c r="AT24" i="10"/>
  <c r="BA39" i="1" l="1"/>
  <c r="AH23" i="6" s="1"/>
  <c r="BD35" i="1"/>
  <c r="AS39" i="1"/>
  <c r="R39" i="1" s="1"/>
  <c r="B4" i="14"/>
  <c r="B33" i="14"/>
  <c r="N33" i="14"/>
  <c r="H33" i="14"/>
  <c r="H4" i="14"/>
  <c r="AB22" i="1"/>
  <c r="Y22" i="1"/>
  <c r="BD22" i="1"/>
  <c r="BF22" i="1"/>
  <c r="BF23" i="1"/>
  <c r="AN33" i="1"/>
  <c r="AW37" i="1" s="1"/>
  <c r="AF21" i="6" s="1"/>
  <c r="AS22" i="1"/>
  <c r="R22" i="1" s="1"/>
  <c r="BA26" i="1"/>
  <c r="AH10" i="6" s="1"/>
  <c r="AK22" i="6"/>
  <c r="AB21" i="6"/>
  <c r="AM38" i="7"/>
  <c r="K38" i="7" s="1"/>
  <c r="AB23" i="6"/>
  <c r="AK23" i="6"/>
  <c r="AR39" i="1"/>
  <c r="AB39" i="1"/>
  <c r="BF39" i="1"/>
  <c r="Y39" i="1"/>
  <c r="BD24" i="1"/>
  <c r="AZ28" i="1" s="1"/>
  <c r="AG12" i="6" s="1"/>
  <c r="AB30" i="1"/>
  <c r="BD30" i="1"/>
  <c r="AZ34" i="1" s="1"/>
  <c r="AG18" i="6" s="1"/>
  <c r="AB11" i="6"/>
  <c r="AB22" i="6"/>
  <c r="AD15" i="6"/>
  <c r="AJ15" i="6" s="1"/>
  <c r="BD28" i="1"/>
  <c r="AZ32" i="1" s="1"/>
  <c r="AG16" i="6" s="1"/>
  <c r="BD31" i="1"/>
  <c r="AZ35" i="1" s="1"/>
  <c r="AG19" i="6" s="1"/>
  <c r="BD23" i="1"/>
  <c r="AN29" i="1"/>
  <c r="AW33" i="1" s="1"/>
  <c r="AF17" i="6" s="1"/>
  <c r="AD12" i="6"/>
  <c r="AJ12" i="6" s="1"/>
  <c r="AB15" i="6"/>
  <c r="AB23" i="1"/>
  <c r="AD21" i="6"/>
  <c r="AJ21" i="6" s="1"/>
  <c r="AB12" i="6"/>
  <c r="AK21" i="6"/>
  <c r="AN32" i="1"/>
  <c r="AW36" i="1" s="1"/>
  <c r="AF20" i="6" s="1"/>
  <c r="AN36" i="1"/>
  <c r="AW25" i="1" s="1"/>
  <c r="AF8" i="6" s="1"/>
  <c r="F8" i="6" s="1"/>
  <c r="F7" i="15" s="1"/>
  <c r="AN39" i="1"/>
  <c r="BD32" i="1"/>
  <c r="AZ36" i="1" s="1"/>
  <c r="AG20" i="6" s="1"/>
  <c r="AN37" i="1"/>
  <c r="BD36" i="1"/>
  <c r="AN25" i="1"/>
  <c r="AW29" i="1" s="1"/>
  <c r="AF13" i="6" s="1"/>
  <c r="AN38" i="1"/>
  <c r="AW23" i="1" s="1"/>
  <c r="AF6" i="6" s="1"/>
  <c r="F6" i="6" s="1"/>
  <c r="F5" i="15" s="1"/>
  <c r="BD34" i="1"/>
  <c r="AZ38" i="1" s="1"/>
  <c r="AG22" i="6" s="1"/>
  <c r="Q39" i="5"/>
  <c r="Q40" i="5"/>
  <c r="M40" i="5"/>
  <c r="AD14" i="6"/>
  <c r="AJ14" i="6" s="1"/>
  <c r="AK14" i="6"/>
  <c r="AB14" i="6"/>
  <c r="BD27" i="1"/>
  <c r="AZ31" i="1" s="1"/>
  <c r="AG15" i="6" s="1"/>
  <c r="AD16" i="6"/>
  <c r="AJ16" i="6" s="1"/>
  <c r="AK16" i="6"/>
  <c r="AB16" i="6"/>
  <c r="AB20" i="6"/>
  <c r="AD20" i="6"/>
  <c r="AJ20" i="6" s="1"/>
  <c r="AK20" i="6"/>
  <c r="AM40" i="7"/>
  <c r="K40" i="7" s="1"/>
  <c r="AP23" i="1"/>
  <c r="Y23" i="1"/>
  <c r="AD11" i="6"/>
  <c r="AJ11" i="6" s="1"/>
  <c r="Y33" i="1"/>
  <c r="AP33" i="1"/>
  <c r="BF33" i="1"/>
  <c r="AB33" i="1"/>
  <c r="AN24" i="1"/>
  <c r="AW28" i="1" s="1"/>
  <c r="AF12" i="6" s="1"/>
  <c r="BD29" i="1"/>
  <c r="AZ33" i="1" s="1"/>
  <c r="AG17" i="6" s="1"/>
  <c r="Y30" i="1"/>
  <c r="BF30" i="1"/>
  <c r="AR22" i="1"/>
  <c r="Y27" i="1"/>
  <c r="AB27" i="1"/>
  <c r="AP27" i="1"/>
  <c r="BF27" i="1"/>
  <c r="Y32" i="1"/>
  <c r="AP32" i="1"/>
  <c r="AB32" i="1"/>
  <c r="BF32" i="1"/>
  <c r="AP38" i="1"/>
  <c r="BF38" i="1"/>
  <c r="Y38" i="1"/>
  <c r="AB38" i="1"/>
  <c r="AB37" i="1"/>
  <c r="Y37" i="1"/>
  <c r="BF37" i="1"/>
  <c r="AP37" i="1"/>
  <c r="AK17" i="6"/>
  <c r="AB17" i="6"/>
  <c r="AD17" i="6"/>
  <c r="AJ17" i="6" s="1"/>
  <c r="AB35" i="1"/>
  <c r="Y35" i="1"/>
  <c r="AP35" i="1"/>
  <c r="BF35" i="1"/>
  <c r="Y34" i="1"/>
  <c r="AB34" i="1"/>
  <c r="AP34" i="1"/>
  <c r="BF34" i="1"/>
  <c r="BD25" i="1"/>
  <c r="AZ29" i="1" s="1"/>
  <c r="AG13" i="6" s="1"/>
  <c r="BD37" i="1"/>
  <c r="BD26" i="1"/>
  <c r="AZ30" i="1" s="1"/>
  <c r="AG14" i="6" s="1"/>
  <c r="AN34" i="1"/>
  <c r="BD38" i="1"/>
  <c r="AN23" i="1"/>
  <c r="AW27" i="1" s="1"/>
  <c r="AF11" i="6" s="1"/>
  <c r="AP25" i="1"/>
  <c r="Y25" i="1"/>
  <c r="BF25" i="1"/>
  <c r="AB25" i="1"/>
  <c r="AP31" i="1"/>
  <c r="Y31" i="1"/>
  <c r="BF31" i="1"/>
  <c r="AB31" i="1"/>
  <c r="AP28" i="1"/>
  <c r="AB28" i="1"/>
  <c r="BF28" i="1"/>
  <c r="Y28" i="1"/>
  <c r="BD33" i="1"/>
  <c r="AZ37" i="1" s="1"/>
  <c r="AG21" i="6" s="1"/>
  <c r="Y24" i="1"/>
  <c r="AP24" i="1"/>
  <c r="BF24" i="1"/>
  <c r="AB24" i="1"/>
  <c r="AU30" i="1"/>
  <c r="AS30" i="1" s="1"/>
  <c r="AR30" i="1"/>
  <c r="AB19" i="6"/>
  <c r="AD19" i="6"/>
  <c r="AJ19" i="6" s="1"/>
  <c r="AK19" i="6"/>
  <c r="AB18" i="6"/>
  <c r="AD18" i="6"/>
  <c r="AJ18" i="6" s="1"/>
  <c r="AK18" i="6"/>
  <c r="BF36" i="1"/>
  <c r="Y36" i="1"/>
  <c r="AP36" i="1"/>
  <c r="AB36" i="1"/>
  <c r="AN27" i="1"/>
  <c r="AW31" i="1" s="1"/>
  <c r="AF15" i="6" s="1"/>
  <c r="AN30" i="1"/>
  <c r="AW34" i="1" s="1"/>
  <c r="AF18" i="6" s="1"/>
  <c r="AN26" i="1"/>
  <c r="AW30" i="1" s="1"/>
  <c r="AF14" i="6" s="1"/>
  <c r="AN35" i="1"/>
  <c r="BD39" i="1"/>
  <c r="AB13" i="6"/>
  <c r="AD13" i="6"/>
  <c r="AJ13" i="6" s="1"/>
  <c r="AK13" i="6"/>
  <c r="BF29" i="1"/>
  <c r="AB29" i="1"/>
  <c r="AP29" i="1"/>
  <c r="Y29" i="1"/>
  <c r="AN22" i="1"/>
  <c r="AB26" i="1"/>
  <c r="BF26" i="1"/>
  <c r="Y26" i="1"/>
  <c r="AP26" i="1"/>
  <c r="AN31" i="1"/>
  <c r="AW35" i="1" s="1"/>
  <c r="AF19" i="6" s="1"/>
  <c r="AN28" i="1"/>
  <c r="AW32" i="1" s="1"/>
  <c r="AF16" i="6" s="1"/>
  <c r="AW22" i="1" l="1"/>
  <c r="AF5" i="6" s="1"/>
  <c r="F5" i="6" s="1"/>
  <c r="F4" i="15" s="1"/>
  <c r="AZ39" i="1"/>
  <c r="AG23" i="6" s="1"/>
  <c r="AW39" i="1"/>
  <c r="AF23" i="6" s="1"/>
  <c r="AW38" i="1"/>
  <c r="AF22" i="6" s="1"/>
  <c r="AZ26" i="1"/>
  <c r="AG10" i="6" s="1"/>
  <c r="AZ27" i="1"/>
  <c r="AG11" i="6" s="1"/>
  <c r="R30" i="1"/>
  <c r="AY34" i="1"/>
  <c r="AW26" i="1"/>
  <c r="AW24" i="1"/>
  <c r="AU33" i="1"/>
  <c r="AS33" i="1" s="1"/>
  <c r="AR33" i="1"/>
  <c r="V2" i="1"/>
  <c r="AR23" i="1"/>
  <c r="AU23" i="1"/>
  <c r="AS23" i="1" s="1"/>
  <c r="AR26" i="1"/>
  <c r="AU26" i="1"/>
  <c r="AS26" i="1" s="1"/>
  <c r="AU29" i="1"/>
  <c r="AS29" i="1" s="1"/>
  <c r="AR29" i="1"/>
  <c r="AU34" i="1"/>
  <c r="AS34" i="1" s="1"/>
  <c r="AR34" i="1"/>
  <c r="AU35" i="1"/>
  <c r="AS35" i="1" s="1"/>
  <c r="AR35" i="1"/>
  <c r="AU37" i="1"/>
  <c r="AS37" i="1" s="1"/>
  <c r="AR37" i="1"/>
  <c r="AU24" i="1"/>
  <c r="AS24" i="1" s="1"/>
  <c r="AR24" i="1"/>
  <c r="AR27" i="1"/>
  <c r="AU27" i="1"/>
  <c r="AS27" i="1" s="1"/>
  <c r="AR36" i="1"/>
  <c r="AU36" i="1"/>
  <c r="AS36" i="1" s="1"/>
  <c r="AR32" i="1"/>
  <c r="AU32" i="1"/>
  <c r="AS32" i="1" s="1"/>
  <c r="AU28" i="1"/>
  <c r="AS28" i="1" s="1"/>
  <c r="AR28" i="1"/>
  <c r="AR31" i="1"/>
  <c r="AU31" i="1"/>
  <c r="AS31" i="1" s="1"/>
  <c r="AR25" i="1"/>
  <c r="AU25" i="1"/>
  <c r="AS25" i="1" s="1"/>
  <c r="AU38" i="1"/>
  <c r="AS38" i="1" s="1"/>
  <c r="R38" i="1" s="1"/>
  <c r="AR38" i="1"/>
  <c r="AY25" i="1" l="1"/>
  <c r="R37" i="1"/>
  <c r="AY23" i="1"/>
  <c r="R36" i="1"/>
  <c r="AY22" i="1"/>
  <c r="AF10" i="6"/>
  <c r="R35" i="1"/>
  <c r="AY39" i="1"/>
  <c r="R34" i="1"/>
  <c r="AY38" i="1"/>
  <c r="R33" i="1"/>
  <c r="AY37" i="1"/>
  <c r="R32" i="1"/>
  <c r="AY36" i="1"/>
  <c r="R31" i="1"/>
  <c r="AY35" i="1"/>
  <c r="R29" i="1"/>
  <c r="AY33" i="1"/>
  <c r="R28" i="1"/>
  <c r="AY32" i="1"/>
  <c r="R27" i="1"/>
  <c r="AY31" i="1"/>
  <c r="R26" i="1"/>
  <c r="AY30" i="1"/>
  <c r="R25" i="1"/>
  <c r="AY29" i="1"/>
  <c r="R24" i="1"/>
  <c r="AY28" i="1"/>
  <c r="AY24" i="1"/>
  <c r="AY27" i="1"/>
  <c r="AF7" i="6"/>
  <c r="F7" i="6" s="1"/>
  <c r="F6" i="15" s="1"/>
  <c r="R23" i="1"/>
  <c r="AY26" i="1"/>
  <c r="AZ24" i="1" s="1"/>
  <c r="M46" i="5"/>
  <c r="Q46" i="5" s="1"/>
  <c r="M49" i="5"/>
  <c r="Q49" i="5" s="1"/>
  <c r="M44" i="5"/>
  <c r="Q44" i="5" s="1"/>
  <c r="M45" i="5"/>
  <c r="Q45" i="5" s="1"/>
  <c r="M47" i="5"/>
  <c r="Q47" i="5" s="1"/>
  <c r="M43" i="5"/>
  <c r="M50" i="5"/>
  <c r="Q50" i="5" s="1"/>
  <c r="M48" i="5"/>
  <c r="Q48" i="5" s="1"/>
  <c r="BB23" i="6" l="1"/>
  <c r="BB13" i="6"/>
  <c r="AZ25" i="1"/>
  <c r="AZ23" i="1"/>
  <c r="AZ22" i="1"/>
  <c r="BB12" i="6"/>
  <c r="AN36" i="7"/>
  <c r="BB18" i="6"/>
  <c r="BB16" i="6"/>
  <c r="BB14" i="6"/>
  <c r="BB11" i="6"/>
  <c r="BB15" i="6"/>
  <c r="BB17" i="6"/>
  <c r="BB22" i="6"/>
  <c r="BB20" i="6"/>
  <c r="BB10" i="6"/>
  <c r="BB19" i="6"/>
  <c r="BB21" i="6"/>
  <c r="O40" i="1"/>
  <c r="Q51" i="5"/>
  <c r="M53" i="5"/>
  <c r="Q43" i="5"/>
  <c r="Q58" i="5" s="1"/>
  <c r="AO36" i="7" l="1"/>
  <c r="AM36" i="7" s="1"/>
  <c r="K36" i="7" s="1"/>
  <c r="AX26" i="1"/>
  <c r="AE10" i="6" s="1"/>
  <c r="BA14" i="6" s="1"/>
  <c r="BA15" i="6" l="1"/>
  <c r="BA12" i="6"/>
  <c r="AB10" i="6"/>
  <c r="C16" i="15" s="1"/>
  <c r="BA11" i="6"/>
  <c r="BA23" i="6"/>
  <c r="AK10" i="6"/>
  <c r="BA21" i="6"/>
  <c r="AD10" i="6"/>
  <c r="AJ10" i="6" s="1"/>
  <c r="BA20" i="6"/>
  <c r="BA17" i="6"/>
  <c r="AN35" i="7"/>
  <c r="BA18" i="6"/>
  <c r="BA19" i="6"/>
  <c r="BA10" i="6"/>
  <c r="BA13" i="6"/>
  <c r="BA22" i="6"/>
  <c r="BA16" i="6"/>
  <c r="C22" i="15" l="1"/>
  <c r="O22" i="15" s="1"/>
  <c r="C18" i="15"/>
  <c r="O18" i="15" s="1"/>
  <c r="C13" i="15"/>
  <c r="P13" i="15" s="1"/>
  <c r="C20" i="15"/>
  <c r="P20" i="15" s="1"/>
  <c r="N16" i="15"/>
  <c r="J16" i="15"/>
  <c r="I16" i="15"/>
  <c r="L16" i="15"/>
  <c r="O16" i="15"/>
  <c r="P16" i="15"/>
  <c r="F16" i="15"/>
  <c r="C12" i="15"/>
  <c r="C17" i="15"/>
  <c r="C21" i="15"/>
  <c r="C9" i="15"/>
  <c r="C15" i="15"/>
  <c r="C19" i="15"/>
  <c r="C10" i="15"/>
  <c r="C11" i="15"/>
  <c r="C14" i="15"/>
  <c r="AO35" i="7"/>
  <c r="AM35" i="7" s="1"/>
  <c r="U2" i="1" s="1"/>
  <c r="N13" i="15" l="1"/>
  <c r="N18" i="15"/>
  <c r="N20" i="15"/>
  <c r="N22" i="15"/>
  <c r="J22" i="15"/>
  <c r="L22" i="15"/>
  <c r="L18" i="15"/>
  <c r="P22" i="15"/>
  <c r="F22" i="15"/>
  <c r="J18" i="15"/>
  <c r="P18" i="15"/>
  <c r="I18" i="15"/>
  <c r="I22" i="15"/>
  <c r="F18" i="15"/>
  <c r="O13" i="15"/>
  <c r="J13" i="15"/>
  <c r="I13" i="15"/>
  <c r="O20" i="15"/>
  <c r="F13" i="15"/>
  <c r="F20" i="15"/>
  <c r="L20" i="15"/>
  <c r="L13" i="15"/>
  <c r="J20" i="15"/>
  <c r="I20" i="15"/>
  <c r="N12" i="15"/>
  <c r="J12" i="15"/>
  <c r="I12" i="15"/>
  <c r="L12" i="15"/>
  <c r="F12" i="15"/>
  <c r="O12" i="15"/>
  <c r="P12" i="15"/>
  <c r="N10" i="15"/>
  <c r="J10" i="15"/>
  <c r="I10" i="15"/>
  <c r="O10" i="15"/>
  <c r="L10" i="15"/>
  <c r="P10" i="15"/>
  <c r="F10" i="15"/>
  <c r="N19" i="15"/>
  <c r="J19" i="15"/>
  <c r="I19" i="15"/>
  <c r="P19" i="15"/>
  <c r="L19" i="15"/>
  <c r="O19" i="15"/>
  <c r="F19" i="15"/>
  <c r="N9" i="15"/>
  <c r="J9" i="15"/>
  <c r="O9" i="15"/>
  <c r="I9" i="15"/>
  <c r="P9" i="15"/>
  <c r="L9" i="15"/>
  <c r="F9" i="15"/>
  <c r="N15" i="15"/>
  <c r="J15" i="15"/>
  <c r="I15" i="15"/>
  <c r="O15" i="15"/>
  <c r="L15" i="15"/>
  <c r="P15" i="15"/>
  <c r="F15" i="15"/>
  <c r="N14" i="15"/>
  <c r="J14" i="15"/>
  <c r="I14" i="15"/>
  <c r="O14" i="15"/>
  <c r="P14" i="15"/>
  <c r="L14" i="15"/>
  <c r="F14" i="15"/>
  <c r="N21" i="15"/>
  <c r="J21" i="15"/>
  <c r="I21" i="15"/>
  <c r="P21" i="15"/>
  <c r="O21" i="15"/>
  <c r="F21" i="15"/>
  <c r="L21" i="15"/>
  <c r="N11" i="15"/>
  <c r="J11" i="15"/>
  <c r="I11" i="15"/>
  <c r="P11" i="15"/>
  <c r="L11" i="15"/>
  <c r="O11" i="15"/>
  <c r="F11" i="15"/>
  <c r="N17" i="15"/>
  <c r="J17" i="15"/>
  <c r="P17" i="15"/>
  <c r="I17" i="15"/>
  <c r="L17" i="15"/>
  <c r="F17" i="15"/>
  <c r="O17" i="15"/>
  <c r="K35" i="7"/>
  <c r="E22" i="6" l="1"/>
  <c r="G22" i="6" s="1"/>
  <c r="E18" i="6"/>
  <c r="I18" i="6" s="1"/>
  <c r="E10" i="6"/>
  <c r="F10" i="6" s="1"/>
  <c r="E23" i="6"/>
  <c r="G23" i="6" s="1"/>
  <c r="E12" i="6"/>
  <c r="C8" i="14" s="1"/>
  <c r="O8" i="14" s="1"/>
  <c r="E21" i="6"/>
  <c r="C17" i="14" s="1"/>
  <c r="C46" i="14" s="1"/>
  <c r="E19" i="6"/>
  <c r="C15" i="14" s="1"/>
  <c r="C44" i="14" s="1"/>
  <c r="E11" i="6"/>
  <c r="D11" i="6" s="1"/>
  <c r="E13" i="6"/>
  <c r="C9" i="14" s="1"/>
  <c r="I38" i="14" s="1"/>
  <c r="E14" i="6"/>
  <c r="G14" i="6" s="1"/>
  <c r="E17" i="6"/>
  <c r="D17" i="6" s="1"/>
  <c r="E16" i="6"/>
  <c r="F16" i="6" s="1"/>
  <c r="E20" i="6"/>
  <c r="F20" i="6" s="1"/>
  <c r="E15" i="6"/>
  <c r="C11" i="14" s="1"/>
  <c r="I11" i="14" s="1"/>
  <c r="D23" i="6" l="1"/>
  <c r="C23" i="6"/>
  <c r="B19" i="14" s="1"/>
  <c r="N19" i="14" s="1"/>
  <c r="G17" i="6"/>
  <c r="C18" i="14"/>
  <c r="O18" i="14" s="1"/>
  <c r="I17" i="6"/>
  <c r="H22" i="6"/>
  <c r="I37" i="14"/>
  <c r="H23" i="6"/>
  <c r="I23" i="6"/>
  <c r="C16" i="6"/>
  <c r="B12" i="14" s="1"/>
  <c r="H12" i="14" s="1"/>
  <c r="C10" i="14"/>
  <c r="C39" i="14" s="1"/>
  <c r="F23" i="6"/>
  <c r="C19" i="14"/>
  <c r="O19" i="14" s="1"/>
  <c r="O37" i="14"/>
  <c r="F11" i="6"/>
  <c r="O40" i="14"/>
  <c r="I15" i="6"/>
  <c r="H11" i="6"/>
  <c r="G12" i="6"/>
  <c r="H17" i="6"/>
  <c r="G18" i="6"/>
  <c r="O38" i="14"/>
  <c r="C13" i="6"/>
  <c r="B9" i="14" s="1"/>
  <c r="H38" i="14" s="1"/>
  <c r="C10" i="6"/>
  <c r="B6" i="14" s="1"/>
  <c r="N6" i="14" s="1"/>
  <c r="G13" i="6"/>
  <c r="I9" i="14"/>
  <c r="C7" i="14"/>
  <c r="I36" i="14" s="1"/>
  <c r="G11" i="6"/>
  <c r="H13" i="6"/>
  <c r="I40" i="14"/>
  <c r="H18" i="6"/>
  <c r="O9" i="14"/>
  <c r="H15" i="6"/>
  <c r="C11" i="6"/>
  <c r="B7" i="14" s="1"/>
  <c r="H7" i="14" s="1"/>
  <c r="H10" i="6"/>
  <c r="F18" i="6"/>
  <c r="I13" i="6"/>
  <c r="I11" i="6"/>
  <c r="G15" i="6"/>
  <c r="C14" i="14"/>
  <c r="O43" i="14" s="1"/>
  <c r="C38" i="14"/>
  <c r="C18" i="6"/>
  <c r="B14" i="14" s="1"/>
  <c r="H14" i="14" s="1"/>
  <c r="O15" i="14"/>
  <c r="H12" i="6"/>
  <c r="F17" i="6"/>
  <c r="C13" i="14"/>
  <c r="O13" i="14" s="1"/>
  <c r="I12" i="6"/>
  <c r="C12" i="6"/>
  <c r="B8" i="14" s="1"/>
  <c r="B37" i="14" s="1"/>
  <c r="I19" i="6"/>
  <c r="F12" i="6"/>
  <c r="E8" i="14" s="1"/>
  <c r="Q37" i="14" s="1"/>
  <c r="C12" i="14"/>
  <c r="O12" i="14" s="1"/>
  <c r="D16" i="6"/>
  <c r="O46" i="14"/>
  <c r="G21" i="6"/>
  <c r="G16" i="6"/>
  <c r="C21" i="6"/>
  <c r="B17" i="14" s="1"/>
  <c r="N46" i="14" s="1"/>
  <c r="C15" i="6"/>
  <c r="B11" i="14" s="1"/>
  <c r="B40" i="14" s="1"/>
  <c r="D15" i="6"/>
  <c r="C6" i="14"/>
  <c r="E6" i="14" s="1"/>
  <c r="Q6" i="14" s="1"/>
  <c r="I10" i="6"/>
  <c r="D10" i="6"/>
  <c r="G10" i="6"/>
  <c r="C17" i="6"/>
  <c r="B13" i="14" s="1"/>
  <c r="N42" i="14" s="1"/>
  <c r="I8" i="14"/>
  <c r="C37" i="14"/>
  <c r="D12" i="6"/>
  <c r="O17" i="14"/>
  <c r="F21" i="6"/>
  <c r="D17" i="14" s="1"/>
  <c r="I46" i="14"/>
  <c r="I17" i="14"/>
  <c r="D21" i="6"/>
  <c r="I16" i="6"/>
  <c r="H16" i="6"/>
  <c r="I44" i="14"/>
  <c r="C19" i="6"/>
  <c r="B15" i="14" s="1"/>
  <c r="N44" i="14" s="1"/>
  <c r="D20" i="6"/>
  <c r="H19" i="6"/>
  <c r="F19" i="6"/>
  <c r="E15" i="14" s="1"/>
  <c r="K15" i="14" s="1"/>
  <c r="O44" i="14"/>
  <c r="G20" i="6"/>
  <c r="O11" i="14"/>
  <c r="C40" i="14"/>
  <c r="C16" i="14"/>
  <c r="O16" i="14" s="1"/>
  <c r="H20" i="6"/>
  <c r="I15" i="14"/>
  <c r="F14" i="6"/>
  <c r="I20" i="6"/>
  <c r="C20" i="6"/>
  <c r="B16" i="14" s="1"/>
  <c r="N16" i="14" s="1"/>
  <c r="D19" i="6"/>
  <c r="I14" i="6"/>
  <c r="F15" i="6"/>
  <c r="H21" i="6"/>
  <c r="I22" i="6"/>
  <c r="F13" i="6"/>
  <c r="G19" i="6"/>
  <c r="D22" i="6"/>
  <c r="D18" i="6"/>
  <c r="D14" i="6"/>
  <c r="C14" i="6"/>
  <c r="B10" i="14" s="1"/>
  <c r="H39" i="14" s="1"/>
  <c r="C22" i="6"/>
  <c r="B18" i="14" s="1"/>
  <c r="D13" i="6"/>
  <c r="F22" i="6"/>
  <c r="H14" i="6"/>
  <c r="I21" i="6"/>
  <c r="H48" i="14" l="1"/>
  <c r="B35" i="14"/>
  <c r="N48" i="14"/>
  <c r="H19" i="14"/>
  <c r="O47" i="14"/>
  <c r="B48" i="14"/>
  <c r="N7" i="14"/>
  <c r="I47" i="14"/>
  <c r="I14" i="14"/>
  <c r="I18" i="14"/>
  <c r="H41" i="14"/>
  <c r="C47" i="14"/>
  <c r="N41" i="14"/>
  <c r="I13" i="14"/>
  <c r="O6" i="14"/>
  <c r="I10" i="14"/>
  <c r="O10" i="14"/>
  <c r="I7" i="14"/>
  <c r="H9" i="14"/>
  <c r="B43" i="14"/>
  <c r="B46" i="14"/>
  <c r="H11" i="14"/>
  <c r="I12" i="14"/>
  <c r="C36" i="14"/>
  <c r="O36" i="14"/>
  <c r="N40" i="14"/>
  <c r="I39" i="14"/>
  <c r="I41" i="14"/>
  <c r="N12" i="14"/>
  <c r="D7" i="14"/>
  <c r="J7" i="14" s="1"/>
  <c r="I42" i="14"/>
  <c r="H40" i="14"/>
  <c r="O39" i="14"/>
  <c r="H36" i="14"/>
  <c r="D12" i="14"/>
  <c r="P12" i="14" s="1"/>
  <c r="O48" i="14"/>
  <c r="O42" i="14"/>
  <c r="B36" i="14"/>
  <c r="B41" i="14"/>
  <c r="E18" i="14"/>
  <c r="Q18" i="14" s="1"/>
  <c r="C48" i="14"/>
  <c r="D10" i="14"/>
  <c r="P39" i="14" s="1"/>
  <c r="K6" i="14"/>
  <c r="C42" i="14"/>
  <c r="N36" i="14"/>
  <c r="I35" i="14"/>
  <c r="K35" i="14"/>
  <c r="C35" i="14"/>
  <c r="I19" i="14"/>
  <c r="B44" i="14"/>
  <c r="N13" i="14"/>
  <c r="C41" i="14"/>
  <c r="O7" i="14"/>
  <c r="O41" i="14"/>
  <c r="D19" i="14"/>
  <c r="J19" i="14" s="1"/>
  <c r="N11" i="14"/>
  <c r="E19" i="14"/>
  <c r="Q48" i="14" s="1"/>
  <c r="N15" i="14"/>
  <c r="E12" i="14"/>
  <c r="K12" i="14" s="1"/>
  <c r="E7" i="14"/>
  <c r="E36" i="14" s="1"/>
  <c r="H44" i="14"/>
  <c r="H13" i="14"/>
  <c r="I48" i="14"/>
  <c r="H15" i="14"/>
  <c r="N17" i="14"/>
  <c r="O14" i="14"/>
  <c r="D14" i="14"/>
  <c r="P43" i="14" s="1"/>
  <c r="E10" i="14"/>
  <c r="K10" i="14" s="1"/>
  <c r="D8" i="14"/>
  <c r="J37" i="14" s="1"/>
  <c r="H46" i="14"/>
  <c r="H42" i="14"/>
  <c r="E14" i="14"/>
  <c r="K43" i="14" s="1"/>
  <c r="K44" i="14"/>
  <c r="B42" i="14"/>
  <c r="N37" i="14"/>
  <c r="H43" i="14"/>
  <c r="C45" i="14"/>
  <c r="D13" i="14"/>
  <c r="J42" i="14" s="1"/>
  <c r="N35" i="14"/>
  <c r="E17" i="14"/>
  <c r="E46" i="14" s="1"/>
  <c r="N43" i="14"/>
  <c r="B38" i="14"/>
  <c r="H35" i="14"/>
  <c r="O35" i="14"/>
  <c r="Q35" i="14"/>
  <c r="N14" i="14"/>
  <c r="N38" i="14"/>
  <c r="E13" i="14"/>
  <c r="Q13" i="14" s="1"/>
  <c r="N9" i="14"/>
  <c r="H6" i="14"/>
  <c r="H37" i="14"/>
  <c r="I43" i="14"/>
  <c r="E44" i="14"/>
  <c r="H17" i="14"/>
  <c r="N8" i="14"/>
  <c r="C43" i="14"/>
  <c r="I16" i="14"/>
  <c r="H8" i="14"/>
  <c r="J17" i="14"/>
  <c r="P46" i="14"/>
  <c r="E35" i="14"/>
  <c r="I6" i="14"/>
  <c r="D6" i="14"/>
  <c r="J35" i="14" s="1"/>
  <c r="D15" i="14"/>
  <c r="D44" i="14" s="1"/>
  <c r="O45" i="14"/>
  <c r="I45" i="14"/>
  <c r="J46" i="14"/>
  <c r="D46" i="14"/>
  <c r="P17" i="14"/>
  <c r="H45" i="14"/>
  <c r="E16" i="14"/>
  <c r="K16" i="14" s="1"/>
  <c r="H16" i="14"/>
  <c r="Q44" i="14"/>
  <c r="Q15" i="14"/>
  <c r="D16" i="14"/>
  <c r="D45" i="14" s="1"/>
  <c r="N45" i="14"/>
  <c r="B45" i="14"/>
  <c r="C21" i="14"/>
  <c r="E21" i="14" s="1"/>
  <c r="K21" i="14" s="1"/>
  <c r="E37" i="14"/>
  <c r="Q8" i="14"/>
  <c r="K37" i="14"/>
  <c r="K8" i="14"/>
  <c r="D18" i="14"/>
  <c r="P18" i="14" s="1"/>
  <c r="H10" i="14"/>
  <c r="N10" i="14"/>
  <c r="N47" i="14"/>
  <c r="B47" i="14"/>
  <c r="N18" i="14"/>
  <c r="H18" i="14"/>
  <c r="H47" i="14"/>
  <c r="E11" i="14"/>
  <c r="D11" i="14"/>
  <c r="N39" i="14"/>
  <c r="E9" i="14"/>
  <c r="D9" i="14"/>
  <c r="B39" i="14"/>
  <c r="J36" i="14" l="1"/>
  <c r="P19" i="14"/>
  <c r="J41" i="14"/>
  <c r="P41" i="14"/>
  <c r="P7" i="14"/>
  <c r="P10" i="14"/>
  <c r="Q7" i="14"/>
  <c r="K7" i="14"/>
  <c r="J10" i="14"/>
  <c r="Q36" i="14"/>
  <c r="J39" i="14"/>
  <c r="D39" i="14"/>
  <c r="P36" i="14"/>
  <c r="K19" i="14"/>
  <c r="D36" i="14"/>
  <c r="J48" i="14"/>
  <c r="Q39" i="14"/>
  <c r="P15" i="14"/>
  <c r="Q10" i="14"/>
  <c r="K39" i="14"/>
  <c r="D41" i="14"/>
  <c r="J12" i="14"/>
  <c r="K48" i="14"/>
  <c r="P48" i="14"/>
  <c r="E48" i="14"/>
  <c r="D37" i="14"/>
  <c r="D48" i="14"/>
  <c r="Q19" i="14"/>
  <c r="Q47" i="14"/>
  <c r="K47" i="14"/>
  <c r="K18" i="14"/>
  <c r="E47" i="14"/>
  <c r="Q41" i="14"/>
  <c r="Q12" i="14"/>
  <c r="E41" i="14"/>
  <c r="K41" i="14"/>
  <c r="Q43" i="14"/>
  <c r="P14" i="14"/>
  <c r="K36" i="14"/>
  <c r="D43" i="14"/>
  <c r="P37" i="14"/>
  <c r="Q42" i="14"/>
  <c r="J8" i="14"/>
  <c r="J14" i="14"/>
  <c r="E39" i="14"/>
  <c r="P8" i="14"/>
  <c r="J43" i="14"/>
  <c r="K14" i="14"/>
  <c r="Q14" i="14"/>
  <c r="E43" i="14"/>
  <c r="P42" i="14"/>
  <c r="J13" i="14"/>
  <c r="P13" i="14"/>
  <c r="E42" i="14"/>
  <c r="D42" i="14"/>
  <c r="Q46" i="14"/>
  <c r="K17" i="14"/>
  <c r="K46" i="14"/>
  <c r="Q17" i="14"/>
  <c r="K13" i="14"/>
  <c r="K42" i="14"/>
  <c r="P6" i="14"/>
  <c r="P16" i="14"/>
  <c r="J44" i="14"/>
  <c r="J45" i="14"/>
  <c r="D35" i="14"/>
  <c r="P44" i="14"/>
  <c r="P35" i="14"/>
  <c r="J15" i="14"/>
  <c r="J6" i="14"/>
  <c r="P45" i="14"/>
  <c r="J16" i="14"/>
  <c r="Q16" i="14"/>
  <c r="Q45" i="14"/>
  <c r="E45" i="14"/>
  <c r="K45" i="14"/>
  <c r="C50" i="14"/>
  <c r="I21" i="14"/>
  <c r="D21" i="14"/>
  <c r="P50" i="14" s="1"/>
  <c r="O21" i="14"/>
  <c r="I50" i="14"/>
  <c r="O50" i="14"/>
  <c r="P47" i="14"/>
  <c r="E50" i="14"/>
  <c r="J18" i="14"/>
  <c r="Q50" i="14"/>
  <c r="D47" i="14"/>
  <c r="K50" i="14"/>
  <c r="Q21" i="14"/>
  <c r="J47" i="14"/>
  <c r="D38" i="14"/>
  <c r="P38" i="14"/>
  <c r="J9" i="14"/>
  <c r="P9" i="14"/>
  <c r="J38" i="14"/>
  <c r="K9" i="14"/>
  <c r="Q38" i="14"/>
  <c r="E38" i="14"/>
  <c r="Q9" i="14"/>
  <c r="K38" i="14"/>
  <c r="P11" i="14"/>
  <c r="P40" i="14"/>
  <c r="D40" i="14"/>
  <c r="J40" i="14"/>
  <c r="J11" i="14"/>
  <c r="Q11" i="14"/>
  <c r="Q40" i="14"/>
  <c r="E40" i="14"/>
  <c r="K11" i="14"/>
  <c r="K40" i="14"/>
  <c r="C22" i="14"/>
  <c r="E22" i="14" l="1"/>
  <c r="K51" i="14" s="1"/>
  <c r="O22" i="14"/>
  <c r="C51" i="14"/>
  <c r="D22" i="14"/>
  <c r="J22" i="14" s="1"/>
  <c r="I51" i="14"/>
  <c r="I22" i="14"/>
  <c r="O51" i="14"/>
  <c r="D50" i="14"/>
  <c r="P21" i="14"/>
  <c r="J21" i="14"/>
  <c r="J50" i="14"/>
  <c r="E51" i="14"/>
  <c r="K22" i="14"/>
  <c r="Q22" i="14"/>
  <c r="Q51" i="14"/>
  <c r="D51" i="14" l="1"/>
  <c r="P22" i="14"/>
  <c r="J51" i="14"/>
  <c r="P51" i="14"/>
</calcChain>
</file>

<file path=xl/sharedStrings.xml><?xml version="1.0" encoding="utf-8"?>
<sst xmlns="http://schemas.openxmlformats.org/spreadsheetml/2006/main" count="1082" uniqueCount="658">
  <si>
    <t>氏名</t>
    <rPh sb="0" eb="2">
      <t>シメイ</t>
    </rPh>
    <phoneticPr fontId="1"/>
  </si>
  <si>
    <t>姓</t>
    <rPh sb="0" eb="1">
      <t>セイ</t>
    </rPh>
    <phoneticPr fontId="1"/>
  </si>
  <si>
    <t>名</t>
    <rPh sb="0" eb="1">
      <t>メイ</t>
    </rPh>
    <phoneticPr fontId="1"/>
  </si>
  <si>
    <t>せい</t>
    <phoneticPr fontId="1"/>
  </si>
  <si>
    <t>めい</t>
    <phoneticPr fontId="1"/>
  </si>
  <si>
    <t>選手</t>
    <rPh sb="0" eb="2">
      <t>センシュ</t>
    </rPh>
    <phoneticPr fontId="1"/>
  </si>
  <si>
    <t>年齢</t>
    <rPh sb="0" eb="2">
      <t>ネンレイ</t>
    </rPh>
    <phoneticPr fontId="1"/>
  </si>
  <si>
    <t>会費</t>
    <rPh sb="0" eb="2">
      <t>カイヒ</t>
    </rPh>
    <phoneticPr fontId="1"/>
  </si>
  <si>
    <t>背番号</t>
    <rPh sb="0" eb="3">
      <t>セバンゴウ</t>
    </rPh>
    <phoneticPr fontId="1"/>
  </si>
  <si>
    <t>参加料</t>
    <rPh sb="0" eb="3">
      <t>サンカリョウ</t>
    </rPh>
    <phoneticPr fontId="1"/>
  </si>
  <si>
    <t>主将</t>
    <rPh sb="0" eb="2">
      <t>シュショウ</t>
    </rPh>
    <phoneticPr fontId="1"/>
  </si>
  <si>
    <t>名称定義</t>
    <rPh sb="0" eb="2">
      <t>メイショウ</t>
    </rPh>
    <rPh sb="2" eb="4">
      <t>テイギ</t>
    </rPh>
    <phoneticPr fontId="1"/>
  </si>
  <si>
    <t>会費</t>
    <rPh sb="0" eb="2">
      <t>カイヒ</t>
    </rPh>
    <phoneticPr fontId="1"/>
  </si>
  <si>
    <t>DEAF</t>
    <phoneticPr fontId="1"/>
  </si>
  <si>
    <t>健聴者</t>
    <rPh sb="0" eb="3">
      <t>ケンチョウシャ</t>
    </rPh>
    <phoneticPr fontId="1"/>
  </si>
  <si>
    <t>高校生以下</t>
    <rPh sb="0" eb="3">
      <t>コウコウセイ</t>
    </rPh>
    <rPh sb="3" eb="5">
      <t>イカ</t>
    </rPh>
    <phoneticPr fontId="1"/>
  </si>
  <si>
    <t>参加料</t>
    <rPh sb="0" eb="3">
      <t>サンカリョウ</t>
    </rPh>
    <phoneticPr fontId="1"/>
  </si>
  <si>
    <t>選手</t>
    <rPh sb="0" eb="2">
      <t>センシュ</t>
    </rPh>
    <phoneticPr fontId="1"/>
  </si>
  <si>
    <t>スタッフ</t>
    <phoneticPr fontId="1"/>
  </si>
  <si>
    <t>スタッフ選択15</t>
    <phoneticPr fontId="1"/>
  </si>
  <si>
    <t>スタッフ選択14</t>
    <phoneticPr fontId="1"/>
  </si>
  <si>
    <t>スタッフ選択13</t>
    <phoneticPr fontId="1"/>
  </si>
  <si>
    <t>スタッフ選択12</t>
  </si>
  <si>
    <t>スタッフ選択11</t>
  </si>
  <si>
    <t>スタッフ選択10</t>
  </si>
  <si>
    <t>スタッフ選択9</t>
  </si>
  <si>
    <t>スタッフ選択8</t>
  </si>
  <si>
    <t>スタッフ選択7</t>
  </si>
  <si>
    <t>スタッフ選択6</t>
  </si>
  <si>
    <t>スタッフ選択5</t>
  </si>
  <si>
    <t>スタッフ選択4</t>
  </si>
  <si>
    <t>スタッフ選択3</t>
  </si>
  <si>
    <t>スタッフ選択2</t>
  </si>
  <si>
    <t>スタッフ選択1</t>
  </si>
  <si>
    <t>スタッフ選択0</t>
  </si>
  <si>
    <t>監督</t>
    <rPh sb="0" eb="2">
      <t>カントク</t>
    </rPh>
    <phoneticPr fontId="1"/>
  </si>
  <si>
    <t>スタッフ２</t>
  </si>
  <si>
    <t>スタッフ１</t>
  </si>
  <si>
    <t>コーチ</t>
  </si>
  <si>
    <t>監督</t>
  </si>
  <si>
    <t>コーチ</t>
    <phoneticPr fontId="1"/>
  </si>
  <si>
    <t>スタッフ１</t>
    <phoneticPr fontId="1"/>
  </si>
  <si>
    <t>スタッフ２</t>
    <phoneticPr fontId="1"/>
  </si>
  <si>
    <t>スタッフ種別の候補</t>
    <rPh sb="4" eb="6">
      <t>シュベツ</t>
    </rPh>
    <rPh sb="7" eb="9">
      <t>コウホ</t>
    </rPh>
    <phoneticPr fontId="1"/>
  </si>
  <si>
    <t>コーチ</t>
    <phoneticPr fontId="1"/>
  </si>
  <si>
    <t>スタッフ１</t>
    <phoneticPr fontId="1"/>
  </si>
  <si>
    <t>スタッフ２</t>
    <phoneticPr fontId="1"/>
  </si>
  <si>
    <t>パターン値</t>
    <rPh sb="4" eb="5">
      <t>チ</t>
    </rPh>
    <phoneticPr fontId="1"/>
  </si>
  <si>
    <t>例</t>
    <rPh sb="0" eb="1">
      <t>レイ</t>
    </rPh>
    <phoneticPr fontId="1"/>
  </si>
  <si>
    <t>主将番号</t>
    <rPh sb="0" eb="2">
      <t>シュショウ</t>
    </rPh>
    <rPh sb="2" eb="4">
      <t>バンゴウ</t>
    </rPh>
    <phoneticPr fontId="1"/>
  </si>
  <si>
    <t>選手名</t>
    <rPh sb="0" eb="3">
      <t>センシュメイ</t>
    </rPh>
    <phoneticPr fontId="1"/>
  </si>
  <si>
    <t>監督（行）</t>
    <rPh sb="0" eb="2">
      <t>カントク</t>
    </rPh>
    <rPh sb="3" eb="4">
      <t>ギョウ</t>
    </rPh>
    <phoneticPr fontId="1"/>
  </si>
  <si>
    <t>コーチ（行）</t>
    <rPh sb="4" eb="5">
      <t>ギョウ</t>
    </rPh>
    <phoneticPr fontId="1"/>
  </si>
  <si>
    <t>スタッフ（行）</t>
    <rPh sb="5" eb="6">
      <t>ギョウ</t>
    </rPh>
    <phoneticPr fontId="1"/>
  </si>
  <si>
    <t>選手</t>
    <rPh sb="0" eb="2">
      <t>センシュ</t>
    </rPh>
    <phoneticPr fontId="1"/>
  </si>
  <si>
    <t>コーチ：</t>
    <phoneticPr fontId="1"/>
  </si>
  <si>
    <t>監督名：</t>
    <rPh sb="0" eb="2">
      <t>カントク</t>
    </rPh>
    <rPh sb="2" eb="3">
      <t>メイ</t>
    </rPh>
    <phoneticPr fontId="1"/>
  </si>
  <si>
    <t>スタッフ：</t>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</si>
  <si>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</si>
  <si>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</si>
  <si>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</si>
  <si>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</si>
  <si>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</si>
  <si>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</si>
  <si>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選手-7：</t>
    <rPh sb="0" eb="2">
      <t>センシュ</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</si>
  <si>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</si>
  <si>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</si>
  <si>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</si>
  <si>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</si>
  <si>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</si>
  <si>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チーム名</t>
    <rPh sb="3" eb="4">
      <t>メイ</t>
    </rPh>
    <phoneticPr fontId="1"/>
  </si>
  <si>
    <t>代表者連絡先</t>
    <rPh sb="0" eb="3">
      <t>ダイヒョウシャ</t>
    </rPh>
    <rPh sb="3" eb="5">
      <t>レンラク</t>
    </rPh>
    <rPh sb="5" eb="6">
      <t>サキ</t>
    </rPh>
    <phoneticPr fontId="1"/>
  </si>
  <si>
    <t>〒</t>
    <phoneticPr fontId="1"/>
  </si>
  <si>
    <t>-</t>
    <phoneticPr fontId="1"/>
  </si>
  <si>
    <t>大会への意気込み・チームの紹介</t>
    <rPh sb="0" eb="2">
      <t>タイカイ</t>
    </rPh>
    <rPh sb="4" eb="7">
      <t>イキゴ</t>
    </rPh>
    <rPh sb="13" eb="15">
      <t>ショウカイ</t>
    </rPh>
    <phoneticPr fontId="1"/>
  </si>
  <si>
    <t>DEF（一般）</t>
    <rPh sb="4" eb="6">
      <t>イッパン</t>
    </rPh>
    <phoneticPr fontId="1"/>
  </si>
  <si>
    <t>健聴者（一般）</t>
    <rPh sb="0" eb="3">
      <t>ケンチョウシャ</t>
    </rPh>
    <rPh sb="4" eb="6">
      <t>イッパン</t>
    </rPh>
    <phoneticPr fontId="1"/>
  </si>
  <si>
    <t>駐車希望台数</t>
    <rPh sb="0" eb="2">
      <t>チュウシャ</t>
    </rPh>
    <rPh sb="2" eb="4">
      <t>キボウ</t>
    </rPh>
    <rPh sb="4" eb="6">
      <t>ダイスウ</t>
    </rPh>
    <phoneticPr fontId="1"/>
  </si>
  <si>
    <t>円</t>
    <rPh sb="0" eb="1">
      <t>エン</t>
    </rPh>
    <phoneticPr fontId="1"/>
  </si>
  <si>
    <t>氏　　名</t>
    <rPh sb="0" eb="1">
      <t>シ</t>
    </rPh>
    <rPh sb="3" eb="4">
      <t>メイ</t>
    </rPh>
    <phoneticPr fontId="1"/>
  </si>
  <si>
    <t>住　　所</t>
    <rPh sb="0" eb="1">
      <t>ジュウ</t>
    </rPh>
    <rPh sb="3" eb="4">
      <t>ショ</t>
    </rPh>
    <phoneticPr fontId="1"/>
  </si>
  <si>
    <t>内　　訳（A)</t>
    <rPh sb="0" eb="1">
      <t>ナイ</t>
    </rPh>
    <rPh sb="3" eb="4">
      <t>ヤク</t>
    </rPh>
    <phoneticPr fontId="1"/>
  </si>
  <si>
    <t>内　　容</t>
    <rPh sb="0" eb="1">
      <t>ナイ</t>
    </rPh>
    <rPh sb="3" eb="4">
      <t>カタチ</t>
    </rPh>
    <phoneticPr fontId="1"/>
  </si>
  <si>
    <t>人</t>
    <phoneticPr fontId="1"/>
  </si>
  <si>
    <t>人</t>
    <phoneticPr fontId="1"/>
  </si>
  <si>
    <t>台</t>
    <rPh sb="0" eb="1">
      <t>ダイ</t>
    </rPh>
    <phoneticPr fontId="1"/>
  </si>
  <si>
    <t>小　計（A×B)</t>
    <rPh sb="0" eb="1">
      <t>ショウ</t>
    </rPh>
    <rPh sb="2" eb="3">
      <t>ケイ</t>
    </rPh>
    <phoneticPr fontId="1"/>
  </si>
  <si>
    <t>読み仮名</t>
    <phoneticPr fontId="1"/>
  </si>
  <si>
    <t>主将ゼッケン</t>
    <rPh sb="0" eb="2">
      <t>シュショウ</t>
    </rPh>
    <phoneticPr fontId="1"/>
  </si>
  <si>
    <t>背番号</t>
    <rPh sb="0" eb="3">
      <t>セバンゴウ</t>
    </rPh>
    <phoneticPr fontId="1"/>
  </si>
  <si>
    <t>参加料スタッフのみ</t>
    <rPh sb="0" eb="3">
      <t>サンカリョウ</t>
    </rPh>
    <phoneticPr fontId="1"/>
  </si>
  <si>
    <t>参加料の候補</t>
    <rPh sb="0" eb="3">
      <t>サンカリョウ</t>
    </rPh>
    <rPh sb="4" eb="6">
      <t>コウホ</t>
    </rPh>
    <phoneticPr fontId="1"/>
  </si>
  <si>
    <t>費用マトリックス</t>
    <rPh sb="0" eb="2">
      <t>ヒヨウ</t>
    </rPh>
    <phoneticPr fontId="1"/>
  </si>
  <si>
    <t>スタッフ</t>
    <phoneticPr fontId="1"/>
  </si>
  <si>
    <t>費用（会費番号）</t>
    <rPh sb="0" eb="2">
      <t>ヒヨウ</t>
    </rPh>
    <rPh sb="3" eb="5">
      <t>カイヒ</t>
    </rPh>
    <rPh sb="5" eb="7">
      <t>バンゴウ</t>
    </rPh>
    <phoneticPr fontId="1"/>
  </si>
  <si>
    <t>費用（参加料番号）</t>
    <rPh sb="0" eb="2">
      <t>ヒヨウ</t>
    </rPh>
    <rPh sb="3" eb="6">
      <t>サンカリョウ</t>
    </rPh>
    <rPh sb="6" eb="8">
      <t>バンゴウ</t>
    </rPh>
    <phoneticPr fontId="1"/>
  </si>
  <si>
    <t>氏名</t>
    <rPh sb="0" eb="2">
      <t>シメイ</t>
    </rPh>
    <phoneticPr fontId="1"/>
  </si>
  <si>
    <t>背番号</t>
    <rPh sb="0" eb="3">
      <t>セバンゴウ</t>
    </rPh>
    <phoneticPr fontId="1"/>
  </si>
  <si>
    <t>費用</t>
    <rPh sb="0" eb="2">
      <t>ヒヨウ</t>
    </rPh>
    <phoneticPr fontId="1"/>
  </si>
  <si>
    <t>　お振込みください。</t>
    <rPh sb="2" eb="4">
      <t>フリコ</t>
    </rPh>
    <phoneticPr fontId="1"/>
  </si>
  <si>
    <t>富士</t>
    <rPh sb="0" eb="2">
      <t>フジ</t>
    </rPh>
    <phoneticPr fontId="1"/>
  </si>
  <si>
    <t>太朗</t>
    <rPh sb="0" eb="2">
      <t>タロウ</t>
    </rPh>
    <phoneticPr fontId="1"/>
  </si>
  <si>
    <t>DEAF</t>
    <phoneticPr fontId="1"/>
  </si>
  <si>
    <t>選手</t>
    <rPh sb="0" eb="2">
      <t>センシュ</t>
    </rPh>
    <phoneticPr fontId="1"/>
  </si>
  <si>
    <t>監督</t>
    <rPh sb="0" eb="2">
      <t>カントク</t>
    </rPh>
    <phoneticPr fontId="1"/>
  </si>
  <si>
    <t>旧チーム名</t>
    <rPh sb="0" eb="1">
      <t>キュウ</t>
    </rPh>
    <rPh sb="4" eb="5">
      <t>メイ</t>
    </rPh>
    <phoneticPr fontId="1"/>
  </si>
  <si>
    <t>選手がスタッフを兼ねている</t>
    <rPh sb="0" eb="2">
      <t>センシュ</t>
    </rPh>
    <rPh sb="8" eb="9">
      <t>カ</t>
    </rPh>
    <phoneticPr fontId="1"/>
  </si>
  <si>
    <t>診断リスト</t>
    <rPh sb="0" eb="2">
      <t>シンダン</t>
    </rPh>
    <phoneticPr fontId="1"/>
  </si>
  <si>
    <t>①大会参加申込書</t>
    <phoneticPr fontId="1"/>
  </si>
  <si>
    <t>チーム名</t>
    <rPh sb="3" eb="4">
      <t>メイ</t>
    </rPh>
    <phoneticPr fontId="1"/>
  </si>
  <si>
    <t>代表者連絡先</t>
    <rPh sb="0" eb="3">
      <t>ダイヒョウシャ</t>
    </rPh>
    <rPh sb="3" eb="6">
      <t>レンラクサキ</t>
    </rPh>
    <phoneticPr fontId="1"/>
  </si>
  <si>
    <t>〒</t>
    <phoneticPr fontId="1"/>
  </si>
  <si>
    <t>県・地域</t>
    <rPh sb="0" eb="1">
      <t>ケン</t>
    </rPh>
    <rPh sb="2" eb="4">
      <t>チイキ</t>
    </rPh>
    <phoneticPr fontId="1"/>
  </si>
  <si>
    <t>E-mail</t>
    <phoneticPr fontId="1"/>
  </si>
  <si>
    <t>②大会登録名簿</t>
    <phoneticPr fontId="1"/>
  </si>
  <si>
    <t>男子チーム</t>
    <rPh sb="0" eb="2">
      <t>ダンシ</t>
    </rPh>
    <phoneticPr fontId="1"/>
  </si>
  <si>
    <t>女子チーム</t>
    <rPh sb="0" eb="2">
      <t>ジョシ</t>
    </rPh>
    <phoneticPr fontId="1"/>
  </si>
  <si>
    <t>チーム構成</t>
    <rPh sb="3" eb="5">
      <t>コウセイ</t>
    </rPh>
    <phoneticPr fontId="1"/>
  </si>
  <si>
    <t>男女区分</t>
    <rPh sb="0" eb="2">
      <t>ダンジョ</t>
    </rPh>
    <rPh sb="2" eb="4">
      <t>クブン</t>
    </rPh>
    <phoneticPr fontId="1"/>
  </si>
  <si>
    <t>背番号</t>
    <phoneticPr fontId="1"/>
  </si>
  <si>
    <t>（主将）</t>
    <rPh sb="1" eb="3">
      <t>シュショウ</t>
    </rPh>
    <phoneticPr fontId="1"/>
  </si>
  <si>
    <t>申込み期限：</t>
    <rPh sb="0" eb="2">
      <t>モウシコ</t>
    </rPh>
    <rPh sb="3" eb="5">
      <t>キゲン</t>
    </rPh>
    <phoneticPr fontId="2"/>
  </si>
  <si>
    <t>以上</t>
    <rPh sb="0" eb="2">
      <t>イジョウ</t>
    </rPh>
    <phoneticPr fontId="2"/>
  </si>
  <si>
    <t>診断結果</t>
    <rPh sb="0" eb="2">
      <t>シンダン</t>
    </rPh>
    <rPh sb="2" eb="4">
      <t>ケッカ</t>
    </rPh>
    <phoneticPr fontId="1"/>
  </si>
  <si>
    <t>住所</t>
    <rPh sb="0" eb="2">
      <t>ジュウショ</t>
    </rPh>
    <phoneticPr fontId="1"/>
  </si>
  <si>
    <t>一次チェック</t>
    <rPh sb="0" eb="2">
      <t>イチジ</t>
    </rPh>
    <phoneticPr fontId="1"/>
  </si>
  <si>
    <t>二次チェック</t>
    <rPh sb="0" eb="2">
      <t>ニジ</t>
    </rPh>
    <phoneticPr fontId="1"/>
  </si>
  <si>
    <t>チーム紹介</t>
    <rPh sb="3" eb="5">
      <t>ショウカイ</t>
    </rPh>
    <phoneticPr fontId="1"/>
  </si>
  <si>
    <t>選択なし</t>
    <rPh sb="0" eb="2">
      <t>センタク</t>
    </rPh>
    <phoneticPr fontId="1"/>
  </si>
  <si>
    <t>会費の候補</t>
    <rPh sb="0" eb="2">
      <t>カイヒ</t>
    </rPh>
    <rPh sb="3" eb="5">
      <t>コウホ</t>
    </rPh>
    <phoneticPr fontId="1"/>
  </si>
  <si>
    <t>三次チェック</t>
    <rPh sb="0" eb="2">
      <t>サンジ</t>
    </rPh>
    <phoneticPr fontId="1"/>
  </si>
  <si>
    <t>項目名</t>
    <rPh sb="0" eb="2">
      <t>コウモク</t>
    </rPh>
    <rPh sb="2" eb="3">
      <t>メイ</t>
    </rPh>
    <phoneticPr fontId="1"/>
  </si>
  <si>
    <t>内容</t>
    <rPh sb="0" eb="2">
      <t>ナイヨウ</t>
    </rPh>
    <phoneticPr fontId="1"/>
  </si>
  <si>
    <t>スタッフ＆スタッフ種別の入力有無</t>
    <rPh sb="9" eb="11">
      <t>シュベツ</t>
    </rPh>
    <rPh sb="12" eb="14">
      <t>ニュウリョク</t>
    </rPh>
    <rPh sb="14" eb="16">
      <t>ウム</t>
    </rPh>
    <phoneticPr fontId="1"/>
  </si>
  <si>
    <t>※スタッフとは、監督、コーチ、マネージャー、トレーナー、通訳を示しています。</t>
    <phoneticPr fontId="1"/>
  </si>
  <si>
    <t>【出場者一覧用）</t>
    <rPh sb="1" eb="4">
      <t>シュツジョウシャ</t>
    </rPh>
    <rPh sb="4" eb="6">
      <t>イチラン</t>
    </rPh>
    <rPh sb="6" eb="7">
      <t>ヨウ</t>
    </rPh>
    <phoneticPr fontId="1"/>
  </si>
  <si>
    <t>年齢</t>
    <rPh sb="0" eb="2">
      <t>ネンレイ</t>
    </rPh>
    <phoneticPr fontId="1"/>
  </si>
  <si>
    <t>身長</t>
    <rPh sb="0" eb="2">
      <t>シンチョウ</t>
    </rPh>
    <phoneticPr fontId="1"/>
  </si>
  <si>
    <t>同姓同名のチェック</t>
    <rPh sb="0" eb="2">
      <t>ドウセイ</t>
    </rPh>
    <rPh sb="2" eb="4">
      <t>ドウメイ</t>
    </rPh>
    <phoneticPr fontId="1"/>
  </si>
  <si>
    <t>主将</t>
    <rPh sb="0" eb="2">
      <t>シュショウ</t>
    </rPh>
    <phoneticPr fontId="1"/>
  </si>
  <si>
    <t>選手名</t>
    <rPh sb="0" eb="3">
      <t>センシュメイ</t>
    </rPh>
    <phoneticPr fontId="1"/>
  </si>
  <si>
    <t>出　場　者　一　覧</t>
    <rPh sb="0" eb="1">
      <t>デ</t>
    </rPh>
    <rPh sb="2" eb="3">
      <t>バ</t>
    </rPh>
    <rPh sb="4" eb="5">
      <t>シャ</t>
    </rPh>
    <rPh sb="6" eb="7">
      <t>イチ</t>
    </rPh>
    <rPh sb="8" eb="9">
      <t>ラン</t>
    </rPh>
    <phoneticPr fontId="1"/>
  </si>
  <si>
    <t>合計：</t>
    <rPh sb="0" eb="2">
      <t>ゴウケイ</t>
    </rPh>
    <phoneticPr fontId="1"/>
  </si>
  <si>
    <t>「C列」の条件付き書式の条件</t>
    <rPh sb="2" eb="3">
      <t>レツ</t>
    </rPh>
    <rPh sb="5" eb="8">
      <t>ジョウケンツ</t>
    </rPh>
    <rPh sb="9" eb="11">
      <t>ショシキ</t>
    </rPh>
    <rPh sb="12" eb="14">
      <t>ジョウケン</t>
    </rPh>
    <phoneticPr fontId="1"/>
  </si>
  <si>
    <t>シート名</t>
    <rPh sb="3" eb="4">
      <t>メイ</t>
    </rPh>
    <phoneticPr fontId="2"/>
  </si>
  <si>
    <t>①大会参加申込書</t>
    <phoneticPr fontId="2"/>
  </si>
  <si>
    <t>チーム名</t>
    <phoneticPr fontId="2"/>
  </si>
  <si>
    <t>男女区分</t>
    <rPh sb="0" eb="2">
      <t>ダンジョ</t>
    </rPh>
    <rPh sb="2" eb="4">
      <t>クブン</t>
    </rPh>
    <phoneticPr fontId="2"/>
  </si>
  <si>
    <t>住所</t>
    <rPh sb="0" eb="2">
      <t>ジュウショ</t>
    </rPh>
    <phoneticPr fontId="2"/>
  </si>
  <si>
    <t>氏名</t>
    <rPh sb="0" eb="2">
      <t>シメイ</t>
    </rPh>
    <phoneticPr fontId="2"/>
  </si>
  <si>
    <t>チームの紹介</t>
    <rPh sb="4" eb="6">
      <t>ショウカイ</t>
    </rPh>
    <phoneticPr fontId="2"/>
  </si>
  <si>
    <t>主将</t>
    <rPh sb="0" eb="2">
      <t>シュショウ</t>
    </rPh>
    <phoneticPr fontId="2"/>
  </si>
  <si>
    <t>背番号</t>
    <rPh sb="0" eb="3">
      <t>セバンゴウ</t>
    </rPh>
    <phoneticPr fontId="2"/>
  </si>
  <si>
    <t>スタッフ区分</t>
    <rPh sb="4" eb="6">
      <t>クブン</t>
    </rPh>
    <phoneticPr fontId="2"/>
  </si>
  <si>
    <t>身長</t>
    <rPh sb="0" eb="2">
      <t>シンチョウ</t>
    </rPh>
    <phoneticPr fontId="2"/>
  </si>
  <si>
    <t>参加チームの名称</t>
    <rPh sb="0" eb="2">
      <t>サンカ</t>
    </rPh>
    <rPh sb="6" eb="8">
      <t>メイショウ</t>
    </rPh>
    <phoneticPr fontId="2"/>
  </si>
  <si>
    <t>項目名</t>
    <rPh sb="0" eb="2">
      <t>コウモク</t>
    </rPh>
    <rPh sb="2" eb="3">
      <t>メイ</t>
    </rPh>
    <phoneticPr fontId="2"/>
  </si>
  <si>
    <t>主将となる選手を指定</t>
    <rPh sb="0" eb="2">
      <t>シュショウ</t>
    </rPh>
    <rPh sb="5" eb="7">
      <t>センシュ</t>
    </rPh>
    <rPh sb="8" eb="10">
      <t>シテイ</t>
    </rPh>
    <phoneticPr fontId="2"/>
  </si>
  <si>
    <t>選手の背番号</t>
    <rPh sb="0" eb="2">
      <t>センシュ</t>
    </rPh>
    <rPh sb="3" eb="6">
      <t>セバンゴウ</t>
    </rPh>
    <phoneticPr fontId="2"/>
  </si>
  <si>
    <t>参加者の紹介など、自由記述</t>
    <rPh sb="0" eb="3">
      <t>サンカシャ</t>
    </rPh>
    <rPh sb="4" eb="6">
      <t>ショウカイ</t>
    </rPh>
    <rPh sb="9" eb="11">
      <t>ジユウ</t>
    </rPh>
    <rPh sb="11" eb="13">
      <t>キジュツ</t>
    </rPh>
    <phoneticPr fontId="2"/>
  </si>
  <si>
    <t>大会への意気込み・チームの紹介</t>
    <phoneticPr fontId="2"/>
  </si>
  <si>
    <t>選択入力</t>
    <rPh sb="0" eb="2">
      <t>センタク</t>
    </rPh>
    <rPh sb="2" eb="4">
      <t>ニュウリョク</t>
    </rPh>
    <phoneticPr fontId="2"/>
  </si>
  <si>
    <t>クリック入力</t>
    <rPh sb="4" eb="6">
      <t>ニュウリョク</t>
    </rPh>
    <phoneticPr fontId="2"/>
  </si>
  <si>
    <t>データの入力方法について説明します。</t>
    <rPh sb="4" eb="6">
      <t>ニュウリョク</t>
    </rPh>
    <rPh sb="6" eb="8">
      <t>ホウホウ</t>
    </rPh>
    <rPh sb="12" eb="14">
      <t>セツメイ</t>
    </rPh>
    <phoneticPr fontId="2"/>
  </si>
  <si>
    <t>（１）空白（入力方法の記述が無い項目）</t>
    <rPh sb="3" eb="5">
      <t>クウハク</t>
    </rPh>
    <rPh sb="6" eb="8">
      <t>ニュウリョク</t>
    </rPh>
    <rPh sb="8" eb="10">
      <t>ホウホウ</t>
    </rPh>
    <rPh sb="11" eb="13">
      <t>キジュツ</t>
    </rPh>
    <rPh sb="14" eb="15">
      <t>ナ</t>
    </rPh>
    <rPh sb="16" eb="18">
      <t>コウモク</t>
    </rPh>
    <phoneticPr fontId="2"/>
  </si>
  <si>
    <t>該当項目にカーソルを位置づけ、キーボードから直接入力してください。</t>
    <rPh sb="0" eb="2">
      <t>ガイトウ</t>
    </rPh>
    <rPh sb="2" eb="4">
      <t>コウモク</t>
    </rPh>
    <rPh sb="10" eb="12">
      <t>イチ</t>
    </rPh>
    <rPh sb="22" eb="24">
      <t>チョクセツ</t>
    </rPh>
    <rPh sb="24" eb="26">
      <t>ニュウリョク</t>
    </rPh>
    <phoneticPr fontId="2"/>
  </si>
  <si>
    <t>（２）選択入力</t>
    <rPh sb="3" eb="5">
      <t>センタク</t>
    </rPh>
    <rPh sb="5" eb="7">
      <t>ニュウリョク</t>
    </rPh>
    <phoneticPr fontId="2"/>
  </si>
  <si>
    <t>該当項目にカーソルを位置づけると右側に「▼」ボタンが表示されます。</t>
    <rPh sb="0" eb="2">
      <t>ガイトウ</t>
    </rPh>
    <rPh sb="2" eb="4">
      <t>コウモク</t>
    </rPh>
    <rPh sb="10" eb="12">
      <t>イチ</t>
    </rPh>
    <rPh sb="16" eb="18">
      <t>ミギガワ</t>
    </rPh>
    <rPh sb="26" eb="28">
      <t>ヒョウジ</t>
    </rPh>
    <phoneticPr fontId="2"/>
  </si>
  <si>
    <t>該当するデータを選択してください。</t>
    <rPh sb="0" eb="2">
      <t>ガイトウ</t>
    </rPh>
    <rPh sb="8" eb="10">
      <t>センタク</t>
    </rPh>
    <phoneticPr fontId="2"/>
  </si>
  <si>
    <t>例：</t>
    <rPh sb="0" eb="1">
      <t>レイ</t>
    </rPh>
    <phoneticPr fontId="2"/>
  </si>
  <si>
    <t>①該当項目にカーソルを位置づけると</t>
    <rPh sb="1" eb="3">
      <t>ガイトウ</t>
    </rPh>
    <rPh sb="3" eb="5">
      <t>コウモク</t>
    </rPh>
    <rPh sb="11" eb="13">
      <t>イチ</t>
    </rPh>
    <phoneticPr fontId="2"/>
  </si>
  <si>
    <t>（３）クリック入力</t>
    <rPh sb="7" eb="9">
      <t>ニュウリョク</t>
    </rPh>
    <phoneticPr fontId="2"/>
  </si>
  <si>
    <t>クリックします。</t>
    <phoneticPr fontId="2"/>
  </si>
  <si>
    <t>右側に「▼」ボタンが表示されます。</t>
    <rPh sb="0" eb="2">
      <t>ミギガワ</t>
    </rPh>
    <rPh sb="10" eb="12">
      <t>ヒョウジ</t>
    </rPh>
    <phoneticPr fontId="2"/>
  </si>
  <si>
    <t>入力候補が表示されます。</t>
    <rPh sb="0" eb="2">
      <t>ニュウリョク</t>
    </rPh>
    <rPh sb="2" eb="4">
      <t>コウホ</t>
    </rPh>
    <rPh sb="5" eb="7">
      <t>ヒョウジ</t>
    </rPh>
    <phoneticPr fontId="2"/>
  </si>
  <si>
    <t>（例では、男子チームと女子チーム）</t>
    <rPh sb="1" eb="2">
      <t>レイ</t>
    </rPh>
    <rPh sb="5" eb="7">
      <t>ダンシ</t>
    </rPh>
    <rPh sb="11" eb="13">
      <t>ジョシ</t>
    </rPh>
    <phoneticPr fontId="2"/>
  </si>
  <si>
    <t>②「▼」ボタンをクリックすると</t>
    <phoneticPr fontId="2"/>
  </si>
  <si>
    <t>③該当するデータを選択しクリックします。</t>
    <rPh sb="1" eb="3">
      <t>ガイトウ</t>
    </rPh>
    <rPh sb="9" eb="11">
      <t>センタク</t>
    </rPh>
    <phoneticPr fontId="2"/>
  </si>
  <si>
    <t>（例では「男子チーム」を選択）</t>
    <rPh sb="1" eb="2">
      <t>レイ</t>
    </rPh>
    <rPh sb="5" eb="7">
      <t>ダンシ</t>
    </rPh>
    <rPh sb="12" eb="14">
      <t>センタク</t>
    </rPh>
    <phoneticPr fontId="2"/>
  </si>
  <si>
    <t>該当位置の「○」ボタンをカーソルでクリックすることで入力します。</t>
    <rPh sb="0" eb="2">
      <t>ガイトウ</t>
    </rPh>
    <rPh sb="2" eb="4">
      <t>イチ</t>
    </rPh>
    <rPh sb="26" eb="28">
      <t>ニュウリョク</t>
    </rPh>
    <phoneticPr fontId="2"/>
  </si>
  <si>
    <t>①該当位置をカーソルでクリックします。</t>
    <rPh sb="1" eb="3">
      <t>ガイトウ</t>
    </rPh>
    <rPh sb="3" eb="5">
      <t>イチ</t>
    </rPh>
    <phoneticPr fontId="2"/>
  </si>
  <si>
    <t>②「●」になり入力完了となります。</t>
    <rPh sb="7" eb="9">
      <t>ニュウリョク</t>
    </rPh>
    <rPh sb="9" eb="11">
      <t>カンリョウ</t>
    </rPh>
    <phoneticPr fontId="2"/>
  </si>
  <si>
    <t>③クリックした箇所が「●」になり</t>
    <rPh sb="7" eb="9">
      <t>カショ</t>
    </rPh>
    <phoneticPr fontId="2"/>
  </si>
  <si>
    <t>入力内容が変更されます。</t>
    <rPh sb="0" eb="2">
      <t>ニュウリョク</t>
    </rPh>
    <rPh sb="2" eb="4">
      <t>ナイヨウ</t>
    </rPh>
    <rPh sb="5" eb="7">
      <t>ヘンコウ</t>
    </rPh>
    <phoneticPr fontId="2"/>
  </si>
  <si>
    <t>本ファイルは、以下のシートで構成されています。</t>
    <rPh sb="0" eb="1">
      <t>ホン</t>
    </rPh>
    <rPh sb="7" eb="9">
      <t>イカ</t>
    </rPh>
    <rPh sb="14" eb="16">
      <t>コウセイ</t>
    </rPh>
    <phoneticPr fontId="2"/>
  </si>
  <si>
    <t>ファイルの説明</t>
    <phoneticPr fontId="2"/>
  </si>
  <si>
    <t>③出場者一覧</t>
    <phoneticPr fontId="2"/>
  </si>
  <si>
    <t>④診断リスト</t>
    <phoneticPr fontId="2"/>
  </si>
  <si>
    <t>本ファイルの説明および大会事務局からの連絡事項が記載されています。</t>
    <rPh sb="0" eb="1">
      <t>ホン</t>
    </rPh>
    <rPh sb="6" eb="8">
      <t>セツメイ</t>
    </rPh>
    <rPh sb="11" eb="13">
      <t>タイカイ</t>
    </rPh>
    <rPh sb="13" eb="16">
      <t>ジムキョク</t>
    </rPh>
    <rPh sb="19" eb="21">
      <t>レンラク</t>
    </rPh>
    <rPh sb="21" eb="23">
      <t>ジコウ</t>
    </rPh>
    <rPh sb="24" eb="26">
      <t>キサイ</t>
    </rPh>
    <phoneticPr fontId="2"/>
  </si>
  <si>
    <t>（このシートです）</t>
    <phoneticPr fontId="2"/>
  </si>
  <si>
    <t>「②大会登録名簿」シートで入力された参加者情報から</t>
    <rPh sb="2" eb="4">
      <t>タイカイ</t>
    </rPh>
    <rPh sb="4" eb="6">
      <t>トウロク</t>
    </rPh>
    <rPh sb="6" eb="8">
      <t>メイボ</t>
    </rPh>
    <rPh sb="13" eb="15">
      <t>ニュウリョク</t>
    </rPh>
    <rPh sb="18" eb="21">
      <t>サンカシャ</t>
    </rPh>
    <rPh sb="21" eb="23">
      <t>ジョウホウ</t>
    </rPh>
    <phoneticPr fontId="2"/>
  </si>
  <si>
    <t>入力されたデータ内容の正当性を検査し、その結果を表示するシートです。</t>
    <rPh sb="0" eb="2">
      <t>ニュウリョク</t>
    </rPh>
    <rPh sb="8" eb="10">
      <t>ナイヨウ</t>
    </rPh>
    <rPh sb="11" eb="14">
      <t>セイトウセイ</t>
    </rPh>
    <rPh sb="15" eb="17">
      <t>ケンサ</t>
    </rPh>
    <rPh sb="21" eb="23">
      <t>ケッカ</t>
    </rPh>
    <rPh sb="24" eb="26">
      <t>ヒョウジ</t>
    </rPh>
    <phoneticPr fontId="2"/>
  </si>
  <si>
    <t>スタッフ／選手毎にまとめた出場者の一覧を表示するシートです。</t>
    <rPh sb="5" eb="7">
      <t>センシュ</t>
    </rPh>
    <rPh sb="7" eb="8">
      <t>ゴト</t>
    </rPh>
    <phoneticPr fontId="2"/>
  </si>
  <si>
    <t>説　明</t>
    <rPh sb="0" eb="1">
      <t>セツ</t>
    </rPh>
    <rPh sb="2" eb="3">
      <t>メイ</t>
    </rPh>
    <phoneticPr fontId="2"/>
  </si>
  <si>
    <t>シート「②大会登録名簿」へ入力したデータに誤りがある場合、またはデータの入力が</t>
    <rPh sb="5" eb="7">
      <t>タイカイ</t>
    </rPh>
    <rPh sb="7" eb="9">
      <t>トウロク</t>
    </rPh>
    <rPh sb="9" eb="11">
      <t>メイボ</t>
    </rPh>
    <rPh sb="13" eb="15">
      <t>ニュウリョク</t>
    </rPh>
    <rPh sb="21" eb="22">
      <t>アヤマ</t>
    </rPh>
    <rPh sb="26" eb="28">
      <t>バアイ</t>
    </rPh>
    <rPh sb="36" eb="38">
      <t>ニュウリョク</t>
    </rPh>
    <phoneticPr fontId="2"/>
  </si>
  <si>
    <t>例-2：氏名と背番号が重複している場合</t>
    <rPh sb="0" eb="1">
      <t>レイ</t>
    </rPh>
    <rPh sb="4" eb="6">
      <t>シメイ</t>
    </rPh>
    <rPh sb="7" eb="10">
      <t>セバンゴウ</t>
    </rPh>
    <rPh sb="11" eb="13">
      <t>チョウフク</t>
    </rPh>
    <rPh sb="17" eb="19">
      <t>バアイ</t>
    </rPh>
    <phoneticPr fontId="2"/>
  </si>
  <si>
    <t>このような場合は、該当データを入力または訂正し、ピンク色の個所が無いようにして下さい。</t>
    <rPh sb="5" eb="7">
      <t>バアイ</t>
    </rPh>
    <rPh sb="9" eb="11">
      <t>ガイトウ</t>
    </rPh>
    <rPh sb="15" eb="17">
      <t>ニュウリョク</t>
    </rPh>
    <rPh sb="20" eb="22">
      <t>テイセイ</t>
    </rPh>
    <rPh sb="27" eb="28">
      <t>イロ</t>
    </rPh>
    <rPh sb="29" eb="31">
      <t>カショ</t>
    </rPh>
    <rPh sb="32" eb="33">
      <t>ナ</t>
    </rPh>
    <rPh sb="39" eb="40">
      <t>クダ</t>
    </rPh>
    <phoneticPr fontId="2"/>
  </si>
  <si>
    <t>選手／スタッフの選択</t>
    <rPh sb="0" eb="2">
      <t>センシュ</t>
    </rPh>
    <rPh sb="8" eb="10">
      <t>センタク</t>
    </rPh>
    <phoneticPr fontId="2"/>
  </si>
  <si>
    <t>スタッフの区分を選択</t>
    <rPh sb="5" eb="7">
      <t>クブン</t>
    </rPh>
    <rPh sb="8" eb="10">
      <t>センタク</t>
    </rPh>
    <phoneticPr fontId="2"/>
  </si>
  <si>
    <t>この「▼」ボタンをクリックすると入力候補が表示されますので、</t>
    <rPh sb="16" eb="18">
      <t>ニュウリョク</t>
    </rPh>
    <rPh sb="18" eb="20">
      <t>コウホ</t>
    </rPh>
    <rPh sb="21" eb="23">
      <t>ヒョウジ</t>
    </rPh>
    <phoneticPr fontId="2"/>
  </si>
  <si>
    <t>④入力が完了します。</t>
    <rPh sb="1" eb="3">
      <t>ニュウリョク</t>
    </rPh>
    <rPh sb="4" eb="6">
      <t>カンリョウ</t>
    </rPh>
    <phoneticPr fontId="2"/>
  </si>
  <si>
    <t>＜　事務局からのお知らせ　＞</t>
    <rPh sb="2" eb="5">
      <t>ジムキョク</t>
    </rPh>
    <rPh sb="9" eb="10">
      <t>シ</t>
    </rPh>
    <phoneticPr fontId="2"/>
  </si>
  <si>
    <t>＜　本ファイルのシート説明　＞</t>
    <rPh sb="2" eb="3">
      <t>ホン</t>
    </rPh>
    <rPh sb="11" eb="13">
      <t>セツメイ</t>
    </rPh>
    <phoneticPr fontId="2"/>
  </si>
  <si>
    <t>データの入力後は必ずご確認ください。</t>
    <rPh sb="4" eb="6">
      <t>ニュウリョク</t>
    </rPh>
    <rPh sb="6" eb="7">
      <t>ゴ</t>
    </rPh>
    <rPh sb="8" eb="9">
      <t>カナラ</t>
    </rPh>
    <rPh sb="11" eb="13">
      <t>カクニン</t>
    </rPh>
    <phoneticPr fontId="2"/>
  </si>
  <si>
    <t>＜　データ入力項目の説明　＞</t>
    <rPh sb="5" eb="7">
      <t>ニュウリョク</t>
    </rPh>
    <rPh sb="7" eb="9">
      <t>コウモク</t>
    </rPh>
    <rPh sb="10" eb="12">
      <t>セツメイ</t>
    </rPh>
    <phoneticPr fontId="2"/>
  </si>
  <si>
    <r>
      <rPr>
        <sz val="12"/>
        <color indexed="10"/>
        <rFont val="HG明朝E"/>
        <family val="1"/>
        <charset val="128"/>
      </rPr>
      <t>※</t>
    </r>
    <r>
      <rPr>
        <sz val="12"/>
        <rFont val="HG明朝E"/>
        <family val="1"/>
        <charset val="128"/>
      </rPr>
      <t>入力方法</t>
    </r>
    <rPh sb="1" eb="3">
      <t>ニュウリョク</t>
    </rPh>
    <rPh sb="3" eb="5">
      <t>ホウホウ</t>
    </rPh>
    <phoneticPr fontId="2"/>
  </si>
  <si>
    <t>＜　データ入力時の警告表示　＞</t>
    <rPh sb="5" eb="7">
      <t>ニュウリョク</t>
    </rPh>
    <rPh sb="7" eb="8">
      <t>ジ</t>
    </rPh>
    <rPh sb="9" eb="11">
      <t>ケイコク</t>
    </rPh>
    <rPh sb="11" eb="13">
      <t>ヒョウジ</t>
    </rPh>
    <phoneticPr fontId="2"/>
  </si>
  <si>
    <t>不足している場合などに該当するデータ項目の箇所がピンク色に変わり、警告メッセージが</t>
    <rPh sb="0" eb="2">
      <t>フソク</t>
    </rPh>
    <rPh sb="6" eb="8">
      <t>バアイ</t>
    </rPh>
    <phoneticPr fontId="2"/>
  </si>
  <si>
    <t>Ｅメールアドレス：</t>
    <phoneticPr fontId="2"/>
  </si>
  <si>
    <t>必須</t>
    <rPh sb="0" eb="2">
      <t>ヒッス</t>
    </rPh>
    <phoneticPr fontId="2"/>
  </si>
  <si>
    <t>○</t>
    <phoneticPr fontId="2"/>
  </si>
  <si>
    <t>○</t>
    <phoneticPr fontId="2"/>
  </si>
  <si>
    <t>「必須」に「○」のある項目には必ず入力してください。</t>
    <rPh sb="1" eb="3">
      <t>ヒッス</t>
    </rPh>
    <rPh sb="11" eb="13">
      <t>コウモク</t>
    </rPh>
    <rPh sb="15" eb="16">
      <t>カナラ</t>
    </rPh>
    <rPh sb="17" eb="19">
      <t>ニュウリョク</t>
    </rPh>
    <phoneticPr fontId="2"/>
  </si>
  <si>
    <t>スタッフ区分</t>
    <rPh sb="4" eb="6">
      <t>クブン</t>
    </rPh>
    <phoneticPr fontId="1"/>
  </si>
  <si>
    <t>傷害保険</t>
    <rPh sb="0" eb="2">
      <t>ショウガイ</t>
    </rPh>
    <rPh sb="2" eb="4">
      <t>ホケン</t>
    </rPh>
    <phoneticPr fontId="1"/>
  </si>
  <si>
    <t>氏名</t>
    <rPh sb="0" eb="2">
      <t>シメイ</t>
    </rPh>
    <phoneticPr fontId="8"/>
  </si>
  <si>
    <t>年齢の基準日</t>
    <rPh sb="0" eb="2">
      <t>ネンレイ</t>
    </rPh>
    <rPh sb="3" eb="6">
      <t>キジュンビ</t>
    </rPh>
    <phoneticPr fontId="8"/>
  </si>
  <si>
    <t>年齢</t>
    <rPh sb="0" eb="2">
      <t>ネンレイ</t>
    </rPh>
    <phoneticPr fontId="8"/>
  </si>
  <si>
    <t>チーム名：</t>
    <rPh sb="3" eb="4">
      <t>メイ</t>
    </rPh>
    <phoneticPr fontId="8"/>
  </si>
  <si>
    <t>富士　太郎</t>
    <rPh sb="0" eb="2">
      <t>フジ</t>
    </rPh>
    <rPh sb="3" eb="5">
      <t>タロウ</t>
    </rPh>
    <phoneticPr fontId="8"/>
  </si>
  <si>
    <t>ふじ　たろう</t>
    <phoneticPr fontId="8"/>
  </si>
  <si>
    <t>サンプルです</t>
    <phoneticPr fontId="8"/>
  </si>
  <si>
    <t>傷害保険のチェック</t>
    <rPh sb="0" eb="2">
      <t>ショウガイ</t>
    </rPh>
    <rPh sb="2" eb="4">
      <t>ホケン</t>
    </rPh>
    <phoneticPr fontId="8"/>
  </si>
  <si>
    <t>生年月日</t>
    <rPh sb="0" eb="2">
      <t>セイネン</t>
    </rPh>
    <rPh sb="2" eb="4">
      <t>ガッピ</t>
    </rPh>
    <phoneticPr fontId="2"/>
  </si>
  <si>
    <t>傷害保険</t>
    <rPh sb="0" eb="2">
      <t>ショウガイ</t>
    </rPh>
    <rPh sb="2" eb="4">
      <t>ホケン</t>
    </rPh>
    <phoneticPr fontId="2"/>
  </si>
  <si>
    <t>備　考</t>
    <rPh sb="0" eb="1">
      <t>ソナエ</t>
    </rPh>
    <rPh sb="2" eb="3">
      <t>コウ</t>
    </rPh>
    <phoneticPr fontId="1"/>
  </si>
  <si>
    <t>備考</t>
    <rPh sb="0" eb="2">
      <t>ビコウ</t>
    </rPh>
    <phoneticPr fontId="2"/>
  </si>
  <si>
    <t>△</t>
    <phoneticPr fontId="2"/>
  </si>
  <si>
    <t>チェック入力</t>
    <rPh sb="4" eb="6">
      <t>ニュウリョク</t>
    </rPh>
    <phoneticPr fontId="2"/>
  </si>
  <si>
    <t>傷害
保険</t>
    <rPh sb="0" eb="2">
      <t>ショウガイ</t>
    </rPh>
    <rPh sb="3" eb="5">
      <t>ホケン</t>
    </rPh>
    <phoneticPr fontId="1"/>
  </si>
  <si>
    <t>警告メッセージの表示有無</t>
    <rPh sb="0" eb="2">
      <t>ケイコク</t>
    </rPh>
    <rPh sb="8" eb="10">
      <t>ヒョウジ</t>
    </rPh>
    <rPh sb="10" eb="12">
      <t>ウム</t>
    </rPh>
    <phoneticPr fontId="1"/>
  </si>
  <si>
    <t>⑤傷害保険加入者一覧</t>
    <rPh sb="1" eb="3">
      <t>ショウガイ</t>
    </rPh>
    <phoneticPr fontId="2"/>
  </si>
  <si>
    <t>jdva-entry@fsk-inc.co.jp</t>
    <phoneticPr fontId="2"/>
  </si>
  <si>
    <t>この費用情報の「合計金額」をお振込みください。</t>
    <rPh sb="2" eb="4">
      <t>ヒヨウ</t>
    </rPh>
    <rPh sb="4" eb="6">
      <t>ジョウホウ</t>
    </rPh>
    <rPh sb="8" eb="10">
      <t>ゴウケイ</t>
    </rPh>
    <rPh sb="10" eb="12">
      <t>キンガク</t>
    </rPh>
    <rPh sb="15" eb="17">
      <t>フリコ</t>
    </rPh>
    <phoneticPr fontId="2"/>
  </si>
  <si>
    <t>申込書のバージョン：</t>
    <rPh sb="0" eb="3">
      <t>モウシコミショ</t>
    </rPh>
    <phoneticPr fontId="1"/>
  </si>
  <si>
    <t>チーム名：</t>
    <rPh sb="3" eb="4">
      <t>メイ</t>
    </rPh>
    <phoneticPr fontId="1"/>
  </si>
  <si>
    <t>＜　個人情報の取り扱いについて　＞</t>
    <rPh sb="2" eb="4">
      <t>コジン</t>
    </rPh>
    <rPh sb="4" eb="6">
      <t>ジョウホウ</t>
    </rPh>
    <rPh sb="7" eb="8">
      <t>ト</t>
    </rPh>
    <rPh sb="9" eb="10">
      <t>アツカ</t>
    </rPh>
    <phoneticPr fontId="2"/>
  </si>
  <si>
    <t>このような場合は、電子メールソフトを直接起動してください。</t>
    <rPh sb="5" eb="7">
      <t>バアイ</t>
    </rPh>
    <rPh sb="9" eb="11">
      <t>デンシ</t>
    </rPh>
    <rPh sb="18" eb="20">
      <t>チョクセツ</t>
    </rPh>
    <rPh sb="20" eb="22">
      <t>キドウ</t>
    </rPh>
    <phoneticPr fontId="2"/>
  </si>
  <si>
    <t>県（地域）</t>
    <phoneticPr fontId="1"/>
  </si>
  <si>
    <t>県と地域の対応表</t>
    <rPh sb="0" eb="1">
      <t>ケン</t>
    </rPh>
    <rPh sb="2" eb="4">
      <t>チイキ</t>
    </rPh>
    <rPh sb="5" eb="7">
      <t>タイオウ</t>
    </rPh>
    <rPh sb="7" eb="8">
      <t>ヒョウ</t>
    </rPh>
    <phoneticPr fontId="1"/>
  </si>
  <si>
    <t>県名</t>
    <rPh sb="0" eb="2">
      <t>ケンメイ</t>
    </rPh>
    <phoneticPr fontId="1"/>
  </si>
  <si>
    <t>地域名</t>
    <rPh sb="0" eb="3">
      <t>チイキメイ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</si>
  <si>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</si>
  <si>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</si>
  <si>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</si>
  <si>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</si>
  <si>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</si>
  <si>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</si>
  <si>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</si>
  <si>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</si>
  <si>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</si>
  <si>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</si>
  <si>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</si>
  <si>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</si>
  <si>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</si>
  <si>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</si>
  <si>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</si>
  <si>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</si>
  <si>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</si>
  <si>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</si>
  <si>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</si>
  <si>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</si>
  <si>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</si>
  <si>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</si>
  <si>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</si>
  <si>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</si>
  <si>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</si>
  <si>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</si>
  <si>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</si>
  <si>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</si>
  <si>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</si>
  <si>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</si>
  <si>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</si>
  <si>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</si>
  <si>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</si>
  <si>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</si>
  <si>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</si>
  <si>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</si>
  <si>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</si>
  <si>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</si>
  <si>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</si>
  <si>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</si>
  <si>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</si>
  <si>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</si>
  <si>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</si>
  <si>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</si>
  <si>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</si>
  <si>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</si>
  <si>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</si>
  <si>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東北</t>
    <rPh sb="0" eb="2">
      <t>トウホク</t>
    </rPh>
    <phoneticPr fontId="1"/>
  </si>
  <si>
    <t>関東</t>
    <rPh sb="0" eb="2">
      <t>カントウ</t>
    </rPh>
    <phoneticPr fontId="1"/>
  </si>
  <si>
    <t>中部</t>
    <rPh sb="0" eb="2">
      <t>チュウブ</t>
    </rPh>
    <phoneticPr fontId="1"/>
  </si>
  <si>
    <t>関西</t>
    <rPh sb="0" eb="2">
      <t>カンサイ</t>
    </rPh>
    <phoneticPr fontId="1"/>
  </si>
  <si>
    <t>中国</t>
    <rPh sb="0" eb="2">
      <t>チュウゴク</t>
    </rPh>
    <phoneticPr fontId="1"/>
  </si>
  <si>
    <t>四国</t>
    <rPh sb="0" eb="2">
      <t>シコク</t>
    </rPh>
    <phoneticPr fontId="1"/>
  </si>
  <si>
    <t>九州・沖縄</t>
    <rPh sb="0" eb="2">
      <t>キュウシュウ</t>
    </rPh>
    <rPh sb="3" eb="5">
      <t>オキナワ</t>
    </rPh>
    <phoneticPr fontId="1"/>
  </si>
  <si>
    <t>（</t>
    <phoneticPr fontId="1"/>
  </si>
  <si>
    <t>）</t>
    <phoneticPr fontId="1"/>
  </si>
  <si>
    <t>会費</t>
    <phoneticPr fontId="1"/>
  </si>
  <si>
    <t>選手のよみがな</t>
    <rPh sb="0" eb="2">
      <t>センシュ</t>
    </rPh>
    <phoneticPr fontId="1"/>
  </si>
  <si>
    <t>ふじ</t>
    <phoneticPr fontId="1"/>
  </si>
  <si>
    <t>たろう</t>
    <phoneticPr fontId="1"/>
  </si>
  <si>
    <t>生年月日</t>
    <rPh sb="0" eb="2">
      <t>セイネン</t>
    </rPh>
    <rPh sb="2" eb="4">
      <t>ガッピ</t>
    </rPh>
    <phoneticPr fontId="1"/>
  </si>
  <si>
    <t>(yyyy/mm/dd)</t>
    <phoneticPr fontId="1"/>
  </si>
  <si>
    <t>身長
（cm）</t>
    <rPh sb="0" eb="2">
      <t>シンチョウ</t>
    </rPh>
    <phoneticPr fontId="1"/>
  </si>
  <si>
    <t>傷 害 保 険 加 入 希 望 者 一 覧</t>
    <rPh sb="0" eb="1">
      <t>キズ</t>
    </rPh>
    <rPh sb="2" eb="3">
      <t>ガイ</t>
    </rPh>
    <rPh sb="4" eb="5">
      <t>タモツ</t>
    </rPh>
    <rPh sb="6" eb="7">
      <t>ケン</t>
    </rPh>
    <rPh sb="8" eb="9">
      <t>カ</t>
    </rPh>
    <rPh sb="10" eb="11">
      <t>イ</t>
    </rPh>
    <rPh sb="12" eb="13">
      <t>マレ</t>
    </rPh>
    <rPh sb="14" eb="15">
      <t>ノゾミ</t>
    </rPh>
    <rPh sb="16" eb="17">
      <t>シャ</t>
    </rPh>
    <rPh sb="18" eb="19">
      <t>イチ</t>
    </rPh>
    <rPh sb="20" eb="21">
      <t>ラン</t>
    </rPh>
    <phoneticPr fontId="1"/>
  </si>
  <si>
    <t>スタッフ
区分</t>
    <rPh sb="5" eb="7">
      <t>クブン</t>
    </rPh>
    <phoneticPr fontId="1"/>
  </si>
  <si>
    <t>ピンク色の個所の入力／訂正をお願いします。</t>
    <rPh sb="3" eb="4">
      <t>イロ</t>
    </rPh>
    <rPh sb="5" eb="7">
      <t>カショ</t>
    </rPh>
    <rPh sb="8" eb="10">
      <t>ニュウリョク</t>
    </rPh>
    <rPh sb="11" eb="13">
      <t>テイセイ</t>
    </rPh>
    <rPh sb="15" eb="16">
      <t>ネガ</t>
    </rPh>
    <phoneticPr fontId="1"/>
  </si>
  <si>
    <t>主将の選手をクリックしてください</t>
    <phoneticPr fontId="1"/>
  </si>
  <si>
    <t>よみがな</t>
    <phoneticPr fontId="1"/>
  </si>
  <si>
    <t>よみがな</t>
    <phoneticPr fontId="8"/>
  </si>
  <si>
    <t>生年月日</t>
    <rPh sb="0" eb="2">
      <t>セイネン</t>
    </rPh>
    <rPh sb="2" eb="4">
      <t>ガッピ</t>
    </rPh>
    <phoneticPr fontId="8"/>
  </si>
  <si>
    <t>氏　名</t>
    <rPh sb="0" eb="1">
      <t>シ</t>
    </rPh>
    <rPh sb="2" eb="3">
      <t>メイ</t>
    </rPh>
    <phoneticPr fontId="8"/>
  </si>
  <si>
    <t>よみがな</t>
    <phoneticPr fontId="8"/>
  </si>
  <si>
    <t>「G列」の条件付き書式の条件</t>
    <rPh sb="2" eb="3">
      <t>レツ</t>
    </rPh>
    <rPh sb="5" eb="8">
      <t>ジョウケンツ</t>
    </rPh>
    <rPh sb="9" eb="11">
      <t>ショシキ</t>
    </rPh>
    <rPh sb="12" eb="14">
      <t>ジョウケン</t>
    </rPh>
    <phoneticPr fontId="1"/>
  </si>
  <si>
    <t>姓名とよみがなの入力済みチェック</t>
    <rPh sb="0" eb="2">
      <t>セイメイ</t>
    </rPh>
    <rPh sb="8" eb="10">
      <t>ニュウリョク</t>
    </rPh>
    <rPh sb="10" eb="11">
      <t>ズ</t>
    </rPh>
    <phoneticPr fontId="1"/>
  </si>
  <si>
    <t>傷害保険希望時の生年月日入力済みチェック</t>
    <rPh sb="0" eb="2">
      <t>ショウガイ</t>
    </rPh>
    <rPh sb="2" eb="4">
      <t>ホケン</t>
    </rPh>
    <rPh sb="4" eb="6">
      <t>キボウ</t>
    </rPh>
    <rPh sb="6" eb="7">
      <t>ジ</t>
    </rPh>
    <rPh sb="8" eb="10">
      <t>セイネン</t>
    </rPh>
    <rPh sb="10" eb="12">
      <t>ガッピ</t>
    </rPh>
    <rPh sb="12" eb="14">
      <t>ニュウリョク</t>
    </rPh>
    <rPh sb="14" eb="15">
      <t>ズ</t>
    </rPh>
    <phoneticPr fontId="1"/>
  </si>
  <si>
    <t>選手のよみがな</t>
    <rPh sb="0" eb="2">
      <t>センシュ</t>
    </rPh>
    <phoneticPr fontId="2"/>
  </si>
  <si>
    <t>傷害保険加入希望の有無を指定</t>
    <rPh sb="0" eb="2">
      <t>ショウガイ</t>
    </rPh>
    <rPh sb="2" eb="4">
      <t>ホケン</t>
    </rPh>
    <rPh sb="4" eb="6">
      <t>カニュウ</t>
    </rPh>
    <rPh sb="6" eb="8">
      <t>キボウ</t>
    </rPh>
    <rPh sb="9" eb="11">
      <t>ウム</t>
    </rPh>
    <rPh sb="12" eb="14">
      <t>シテイ</t>
    </rPh>
    <phoneticPr fontId="2"/>
  </si>
  <si>
    <t>（例では「高校生以下」の位置）</t>
    <rPh sb="5" eb="8">
      <t>コウコウセイ</t>
    </rPh>
    <rPh sb="8" eb="10">
      <t>イカ</t>
    </rPh>
    <phoneticPr fontId="2"/>
  </si>
  <si>
    <t>例-1：「選手」以外の参加者（例ではスタッフ）に「主将」の入力を行った場合</t>
    <rPh sb="0" eb="1">
      <t>レイ</t>
    </rPh>
    <rPh sb="5" eb="7">
      <t>センシュ</t>
    </rPh>
    <rPh sb="8" eb="10">
      <t>イガイ</t>
    </rPh>
    <rPh sb="11" eb="14">
      <t>サンカシャ</t>
    </rPh>
    <rPh sb="15" eb="16">
      <t>レイ</t>
    </rPh>
    <rPh sb="25" eb="27">
      <t>シュショウ</t>
    </rPh>
    <rPh sb="29" eb="31">
      <t>ニュウリョク</t>
    </rPh>
    <rPh sb="32" eb="33">
      <t>オコナ</t>
    </rPh>
    <rPh sb="35" eb="37">
      <t>バアイ</t>
    </rPh>
    <phoneticPr fontId="2"/>
  </si>
  <si>
    <t>但し、ご利用者の環境によっては表示されない場合があります。</t>
    <rPh sb="0" eb="1">
      <t>タダ</t>
    </rPh>
    <rPh sb="4" eb="6">
      <t>リヨウ</t>
    </rPh>
    <rPh sb="6" eb="7">
      <t>シャ</t>
    </rPh>
    <rPh sb="8" eb="10">
      <t>カンキョウ</t>
    </rPh>
    <rPh sb="15" eb="17">
      <t>ヒョウジ</t>
    </rPh>
    <rPh sb="21" eb="23">
      <t>バアイ</t>
    </rPh>
    <phoneticPr fontId="2"/>
  </si>
  <si>
    <t>「②大会登録名簿」シートで傷害保険加入希望にチェックした氏名の一覧を</t>
    <rPh sb="2" eb="4">
      <t>タイカイ</t>
    </rPh>
    <rPh sb="4" eb="6">
      <t>トウロク</t>
    </rPh>
    <rPh sb="6" eb="8">
      <t>メイボ</t>
    </rPh>
    <rPh sb="13" eb="15">
      <t>ショウガイ</t>
    </rPh>
    <rPh sb="15" eb="17">
      <t>ホケン</t>
    </rPh>
    <rPh sb="17" eb="19">
      <t>カニュウ</t>
    </rPh>
    <rPh sb="19" eb="21">
      <t>キボウ</t>
    </rPh>
    <rPh sb="28" eb="30">
      <t>シメイ</t>
    </rPh>
    <rPh sb="31" eb="33">
      <t>イチラン</t>
    </rPh>
    <phoneticPr fontId="2"/>
  </si>
  <si>
    <t>表示しています。</t>
    <rPh sb="0" eb="2">
      <t>ヒョウジ</t>
    </rPh>
    <phoneticPr fontId="2"/>
  </si>
  <si>
    <t>←Wikiに掲載してある八地方区分</t>
    <phoneticPr fontId="1"/>
  </si>
  <si>
    <t>←JDVA砂田理事からの指示</t>
    <rPh sb="5" eb="7">
      <t>スナダ</t>
    </rPh>
    <rPh sb="7" eb="9">
      <t>リジ</t>
    </rPh>
    <rPh sb="12" eb="14">
      <t>シジ</t>
    </rPh>
    <phoneticPr fontId="1"/>
  </si>
  <si>
    <t>北海道、東北</t>
    <rPh sb="4" eb="6">
      <t>トウホク</t>
    </rPh>
    <phoneticPr fontId="1"/>
  </si>
  <si>
    <t>東海</t>
  </si>
  <si>
    <t>近畿</t>
  </si>
  <si>
    <t>中国</t>
  </si>
  <si>
    <t>よみがな</t>
    <phoneticPr fontId="1"/>
  </si>
  <si>
    <t>九州、沖縄</t>
    <rPh sb="0" eb="2">
      <t>キュウシュウ</t>
    </rPh>
    <phoneticPr fontId="1"/>
  </si>
  <si>
    <t>北陸、信越</t>
    <rPh sb="0" eb="2">
      <t>ホクリク</t>
    </rPh>
    <rPh sb="3" eb="5">
      <t>シンエツ</t>
    </rPh>
    <phoneticPr fontId="1"/>
  </si>
  <si>
    <t>旧チーム名</t>
    <rPh sb="0" eb="1">
      <t>キュウ</t>
    </rPh>
    <rPh sb="4" eb="5">
      <t>メイ</t>
    </rPh>
    <phoneticPr fontId="1"/>
  </si>
  <si>
    <t>読み仮名</t>
    <rPh sb="0" eb="1">
      <t>ヨ</t>
    </rPh>
    <rPh sb="2" eb="4">
      <t>ガナ</t>
    </rPh>
    <phoneticPr fontId="1"/>
  </si>
  <si>
    <t>男女区分</t>
    <rPh sb="0" eb="2">
      <t>ダンジョ</t>
    </rPh>
    <rPh sb="2" eb="4">
      <t>クブン</t>
    </rPh>
    <phoneticPr fontId="1"/>
  </si>
  <si>
    <t>代表者氏名</t>
    <rPh sb="0" eb="3">
      <t>ダイヒョウシャ</t>
    </rPh>
    <rPh sb="3" eb="5">
      <t>シメイ</t>
    </rPh>
    <phoneticPr fontId="1"/>
  </si>
  <si>
    <t>(姓)</t>
    <rPh sb="1" eb="2">
      <t>セイ</t>
    </rPh>
    <phoneticPr fontId="1"/>
  </si>
  <si>
    <t>(名)</t>
    <rPh sb="1" eb="2">
      <t>メイ</t>
    </rPh>
    <phoneticPr fontId="1"/>
  </si>
  <si>
    <t>(せい)</t>
    <phoneticPr fontId="1"/>
  </si>
  <si>
    <t>(めい)</t>
    <phoneticPr fontId="1"/>
  </si>
  <si>
    <t>〒</t>
    <phoneticPr fontId="1"/>
  </si>
  <si>
    <t>－</t>
    <phoneticPr fontId="1"/>
  </si>
  <si>
    <t>電話番号</t>
    <rPh sb="0" eb="2">
      <t>デンワ</t>
    </rPh>
    <rPh sb="2" eb="4">
      <t>バンゴウ</t>
    </rPh>
    <phoneticPr fontId="1"/>
  </si>
  <si>
    <t>FAX番号</t>
    <rPh sb="3" eb="5">
      <t>バンゴウ</t>
    </rPh>
    <phoneticPr fontId="1"/>
  </si>
  <si>
    <t>会員区分</t>
    <rPh sb="0" eb="2">
      <t>カイイン</t>
    </rPh>
    <rPh sb="2" eb="4">
      <t>クブン</t>
    </rPh>
    <phoneticPr fontId="1"/>
  </si>
  <si>
    <t>生年月日
(yyyy/mm/dd)</t>
    <rPh sb="0" eb="2">
      <t>セイネン</t>
    </rPh>
    <rPh sb="2" eb="4">
      <t>ガッピ</t>
    </rPh>
    <phoneticPr fontId="1"/>
  </si>
  <si>
    <t>Tel</t>
    <phoneticPr fontId="1"/>
  </si>
  <si>
    <t>Fax</t>
    <phoneticPr fontId="1"/>
  </si>
  <si>
    <t>会員区分</t>
    <rPh sb="0" eb="2">
      <t>カイイン</t>
    </rPh>
    <rPh sb="2" eb="4">
      <t>クブン</t>
    </rPh>
    <phoneticPr fontId="1"/>
  </si>
  <si>
    <t>正会員</t>
    <rPh sb="0" eb="3">
      <t>セイカイイン</t>
    </rPh>
    <phoneticPr fontId="1"/>
  </si>
  <si>
    <t>賛助会員</t>
    <rPh sb="0" eb="2">
      <t>サンジョ</t>
    </rPh>
    <rPh sb="2" eb="4">
      <t>カイイン</t>
    </rPh>
    <phoneticPr fontId="1"/>
  </si>
  <si>
    <t>学生会員</t>
    <rPh sb="0" eb="2">
      <t>ガクセイ</t>
    </rPh>
    <rPh sb="2" eb="4">
      <t>カイイン</t>
    </rPh>
    <phoneticPr fontId="1"/>
  </si>
  <si>
    <t>登録番号</t>
    <rPh sb="0" eb="2">
      <t>トウロク</t>
    </rPh>
    <rPh sb="2" eb="4">
      <t>バンゴウ</t>
    </rPh>
    <phoneticPr fontId="1"/>
  </si>
  <si>
    <t>年齢計算の基準日</t>
    <rPh sb="0" eb="2">
      <t>ネンレイ</t>
    </rPh>
    <rPh sb="2" eb="4">
      <t>ケイサン</t>
    </rPh>
    <rPh sb="5" eb="8">
      <t>キジュンビ</t>
    </rPh>
    <phoneticPr fontId="1"/>
  </si>
  <si>
    <t>会費費用</t>
    <rPh sb="0" eb="2">
      <t>カイヒ</t>
    </rPh>
    <rPh sb="2" eb="4">
      <t>ヒヨウ</t>
    </rPh>
    <phoneticPr fontId="9"/>
  </si>
  <si>
    <t>例</t>
    <rPh sb="0" eb="1">
      <t>レイ</t>
    </rPh>
    <phoneticPr fontId="9"/>
  </si>
  <si>
    <t>富士</t>
    <rPh sb="0" eb="2">
      <t>フジ</t>
    </rPh>
    <phoneticPr fontId="9"/>
  </si>
  <si>
    <t>太郎</t>
    <rPh sb="0" eb="2">
      <t>タロウ</t>
    </rPh>
    <phoneticPr fontId="9"/>
  </si>
  <si>
    <t>ふじ</t>
    <phoneticPr fontId="9"/>
  </si>
  <si>
    <t>たろう</t>
    <phoneticPr fontId="9"/>
  </si>
  <si>
    <t>登録番号</t>
    <rPh sb="0" eb="2">
      <t>トウロク</t>
    </rPh>
    <rPh sb="2" eb="4">
      <t>バンゴウ</t>
    </rPh>
    <phoneticPr fontId="9"/>
  </si>
  <si>
    <t>姓</t>
    <rPh sb="0" eb="1">
      <t>セイ</t>
    </rPh>
    <phoneticPr fontId="9"/>
  </si>
  <si>
    <t>名</t>
    <rPh sb="0" eb="1">
      <t>メイ</t>
    </rPh>
    <phoneticPr fontId="9"/>
  </si>
  <si>
    <t>せい</t>
    <phoneticPr fontId="9"/>
  </si>
  <si>
    <t>めい</t>
    <phoneticPr fontId="9"/>
  </si>
  <si>
    <t>会員区分</t>
    <rPh sb="0" eb="2">
      <t>カイイン</t>
    </rPh>
    <rPh sb="2" eb="4">
      <t>クブン</t>
    </rPh>
    <phoneticPr fontId="9"/>
  </si>
  <si>
    <t>生年月日</t>
    <rPh sb="0" eb="2">
      <t>セイネン</t>
    </rPh>
    <rPh sb="2" eb="4">
      <t>ガッピ</t>
    </rPh>
    <phoneticPr fontId="9"/>
  </si>
  <si>
    <t>年齢</t>
    <rPh sb="0" eb="2">
      <t>ネンレイ</t>
    </rPh>
    <phoneticPr fontId="9"/>
  </si>
  <si>
    <t>eメール</t>
    <phoneticPr fontId="9"/>
  </si>
  <si>
    <t>tel</t>
    <phoneticPr fontId="9"/>
  </si>
  <si>
    <t>fax</t>
    <phoneticPr fontId="9"/>
  </si>
  <si>
    <t>既登録</t>
    <rPh sb="0" eb="1">
      <t>キ</t>
    </rPh>
    <rPh sb="1" eb="3">
      <t>トウロク</t>
    </rPh>
    <phoneticPr fontId="9"/>
  </si>
  <si>
    <t>登録
番号</t>
    <rPh sb="0" eb="2">
      <t>トウロク</t>
    </rPh>
    <rPh sb="3" eb="5">
      <t>バンゴウ</t>
    </rPh>
    <phoneticPr fontId="1"/>
  </si>
  <si>
    <t>参加区分</t>
    <rPh sb="0" eb="2">
      <t>サンカ</t>
    </rPh>
    <rPh sb="2" eb="4">
      <t>クブン</t>
    </rPh>
    <phoneticPr fontId="1"/>
  </si>
  <si>
    <t>参加料</t>
    <rPh sb="0" eb="2">
      <t>サンカ</t>
    </rPh>
    <rPh sb="2" eb="3">
      <t>リョウ</t>
    </rPh>
    <phoneticPr fontId="1"/>
  </si>
  <si>
    <t>会費</t>
    <rPh sb="0" eb="2">
      <t>カイヒ</t>
    </rPh>
    <phoneticPr fontId="9"/>
  </si>
  <si>
    <t>(空き)</t>
    <rPh sb="1" eb="2">
      <t>ア</t>
    </rPh>
    <phoneticPr fontId="9"/>
  </si>
  <si>
    <t>（サンプルです）</t>
    <phoneticPr fontId="1"/>
  </si>
  <si>
    <t>＜大 会 参 加 申 込 書＞</t>
    <rPh sb="1" eb="2">
      <t>ダイ</t>
    </rPh>
    <rPh sb="3" eb="4">
      <t>カイ</t>
    </rPh>
    <rPh sb="5" eb="6">
      <t>サン</t>
    </rPh>
    <rPh sb="7" eb="8">
      <t>カ</t>
    </rPh>
    <rPh sb="9" eb="10">
      <t>サル</t>
    </rPh>
    <rPh sb="11" eb="12">
      <t>コ</t>
    </rPh>
    <rPh sb="13" eb="14">
      <t>ショ</t>
    </rPh>
    <phoneticPr fontId="1"/>
  </si>
  <si>
    <t>(パソコン)：</t>
    <phoneticPr fontId="1"/>
  </si>
  <si>
    <t>選手-13：</t>
    <rPh sb="0" eb="2">
      <t>センシュ</t>
    </rPh>
    <phoneticPr fontId="1"/>
  </si>
  <si>
    <t>選手-14：</t>
    <rPh sb="0" eb="2">
      <t>センシュ</t>
    </rPh>
    <phoneticPr fontId="1"/>
  </si>
  <si>
    <t>申込数（B)</t>
    <rPh sb="0" eb="2">
      <t>モウシコミ</t>
    </rPh>
    <rPh sb="2" eb="3">
      <t>スウ</t>
    </rPh>
    <phoneticPr fontId="1"/>
  </si>
  <si>
    <t>(携帯)：</t>
    <rPh sb="1" eb="3">
      <t>ケイタイ</t>
    </rPh>
    <phoneticPr fontId="1"/>
  </si>
  <si>
    <t>ＰＣドメイン候補</t>
    <rPh sb="6" eb="8">
      <t>コウホ</t>
    </rPh>
    <phoneticPr fontId="1"/>
  </si>
  <si>
    <t>a.tsukuba-tech.ac.jp</t>
  </si>
  <si>
    <t>gmail.com</t>
  </si>
  <si>
    <t>nifty.com</t>
  </si>
  <si>
    <t>yahoo.co.jp</t>
  </si>
  <si>
    <t>携帯ドメイン候補</t>
    <rPh sb="0" eb="2">
      <t>ケイタイ</t>
    </rPh>
    <rPh sb="6" eb="8">
      <t>コウホ</t>
    </rPh>
    <phoneticPr fontId="1"/>
  </si>
  <si>
    <t>c.vodafone.ne.jp</t>
  </si>
  <si>
    <t>docomo.ne.jp</t>
  </si>
  <si>
    <t>ezweb.ne.jp</t>
  </si>
  <si>
    <t>i.softbank.jp</t>
  </si>
  <si>
    <t>icloud.com</t>
  </si>
  <si>
    <t>softbank.ne.jp</t>
  </si>
  <si>
    <t>@</t>
    <phoneticPr fontId="9"/>
  </si>
  <si>
    <t>住　所</t>
    <rPh sb="0" eb="1">
      <t>ジュウ</t>
    </rPh>
    <rPh sb="2" eb="3">
      <t>ショ</t>
    </rPh>
    <phoneticPr fontId="1"/>
  </si>
  <si>
    <t>ＰＣ携帯ドメイン候補</t>
    <rPh sb="2" eb="4">
      <t>ケイタイ</t>
    </rPh>
    <rPh sb="8" eb="10">
      <t>コウホ</t>
    </rPh>
    <phoneticPr fontId="1"/>
  </si>
  <si>
    <t>（建物名）</t>
    <rPh sb="1" eb="3">
      <t>タテモノ</t>
    </rPh>
    <rPh sb="3" eb="4">
      <t>メイ</t>
    </rPh>
    <phoneticPr fontId="9"/>
  </si>
  <si>
    <t>円</t>
    <rPh sb="0" eb="1">
      <t>エン</t>
    </rPh>
    <phoneticPr fontId="1"/>
  </si>
  <si>
    <t>fujisoftkikaku</t>
    <phoneticPr fontId="9"/>
  </si>
  <si>
    <t>fsk.com</t>
    <phoneticPr fontId="9"/>
  </si>
  <si>
    <t>DEAF</t>
  </si>
  <si>
    <t>大会への意気込み・チームの紹介</t>
    <phoneticPr fontId="1"/>
  </si>
  <si>
    <t>台</t>
    <rPh sb="0" eb="1">
      <t>ダイ</t>
    </rPh>
    <phoneticPr fontId="1"/>
  </si>
  <si>
    <t>ＤＥＡＦ　(一般）</t>
    <rPh sb="6" eb="8">
      <t>イッパン</t>
    </rPh>
    <phoneticPr fontId="1"/>
  </si>
  <si>
    <t>高校生以下</t>
    <rPh sb="0" eb="3">
      <t>コウコウセイ</t>
    </rPh>
    <rPh sb="3" eb="5">
      <t>イカ</t>
    </rPh>
    <phoneticPr fontId="1"/>
  </si>
  <si>
    <t>スタッフ</t>
    <phoneticPr fontId="1"/>
  </si>
  <si>
    <t>よみがな</t>
    <phoneticPr fontId="1"/>
  </si>
  <si>
    <t>コ ー チ</t>
    <phoneticPr fontId="1"/>
  </si>
  <si>
    <t>監　督</t>
    <rPh sb="0" eb="1">
      <t>カン</t>
    </rPh>
    <rPh sb="2" eb="3">
      <t>ヨシ</t>
    </rPh>
    <phoneticPr fontId="1"/>
  </si>
  <si>
    <t>氏　　名</t>
    <rPh sb="0" eb="1">
      <t>シ</t>
    </rPh>
    <rPh sb="3" eb="4">
      <t>メイ</t>
    </rPh>
    <phoneticPr fontId="1"/>
  </si>
  <si>
    <t>選　　手</t>
    <rPh sb="0" eb="1">
      <t>セン</t>
    </rPh>
    <rPh sb="3" eb="4">
      <t>テ</t>
    </rPh>
    <phoneticPr fontId="1"/>
  </si>
  <si>
    <t>身長
(cm)</t>
    <rPh sb="0" eb="2">
      <t>シンチョウ</t>
    </rPh>
    <phoneticPr fontId="1"/>
  </si>
  <si>
    <t>＜出　場　者　一　覧＞</t>
    <phoneticPr fontId="1"/>
  </si>
  <si>
    <t>リベロ</t>
    <phoneticPr fontId="1"/>
  </si>
  <si>
    <t>登録選手数</t>
    <rPh sb="0" eb="2">
      <t>トウロク</t>
    </rPh>
    <rPh sb="2" eb="4">
      <t>センシュ</t>
    </rPh>
    <rPh sb="4" eb="5">
      <t>スウ</t>
    </rPh>
    <phoneticPr fontId="1"/>
  </si>
  <si>
    <t>リベロ選手数</t>
    <rPh sb="3" eb="5">
      <t>センシュ</t>
    </rPh>
    <rPh sb="5" eb="6">
      <t>スウ</t>
    </rPh>
    <phoneticPr fontId="1"/>
  </si>
  <si>
    <t>リベロ指定誤り</t>
    <rPh sb="3" eb="5">
      <t>シテイ</t>
    </rPh>
    <rPh sb="5" eb="6">
      <t>アヤマ</t>
    </rPh>
    <phoneticPr fontId="1"/>
  </si>
  <si>
    <t>設定誤り数</t>
    <rPh sb="0" eb="2">
      <t>セッテイ</t>
    </rPh>
    <rPh sb="2" eb="3">
      <t>アヤマ</t>
    </rPh>
    <rPh sb="4" eb="5">
      <t>スウ</t>
    </rPh>
    <phoneticPr fontId="1"/>
  </si>
  <si>
    <t>選手登録が12名を超える場合、必ずリベロプレーヤー2名の登録が必須</t>
    <phoneticPr fontId="1"/>
  </si>
  <si>
    <t>リベロの有無</t>
    <rPh sb="4" eb="6">
      <t>ウム</t>
    </rPh>
    <phoneticPr fontId="1"/>
  </si>
  <si>
    <t>(主将)</t>
    <rPh sb="1" eb="3">
      <t>シュショウ</t>
    </rPh>
    <phoneticPr fontId="1"/>
  </si>
  <si>
    <t>(リベロ)</t>
    <phoneticPr fontId="1"/>
  </si>
  <si>
    <t>(背番号)</t>
    <rPh sb="1" eb="4">
      <t>セバンゴウ</t>
    </rPh>
    <phoneticPr fontId="1"/>
  </si>
  <si>
    <t>３名以上のリベロプレーヤーが指定されています</t>
    <rPh sb="1" eb="4">
      <t>メイイジョウ</t>
    </rPh>
    <rPh sb="14" eb="16">
      <t>シテイ</t>
    </rPh>
    <phoneticPr fontId="1"/>
  </si>
  <si>
    <t>リベロプレーヤーは指定されていません</t>
    <phoneticPr fontId="1"/>
  </si>
  <si>
    <t>選手以外にリベロプレーヤーが指定されています</t>
    <rPh sb="0" eb="2">
      <t>センシュ</t>
    </rPh>
    <rPh sb="2" eb="4">
      <t>イガイ</t>
    </rPh>
    <rPh sb="14" eb="16">
      <t>シテイ</t>
    </rPh>
    <phoneticPr fontId="1"/>
  </si>
  <si>
    <t>リベロプレーヤー</t>
    <phoneticPr fontId="1"/>
  </si>
  <si>
    <t>参加チーム情報が表示されるシートです。</t>
    <rPh sb="0" eb="2">
      <t>サンカ</t>
    </rPh>
    <rPh sb="5" eb="7">
      <t>ジョウホウ</t>
    </rPh>
    <rPh sb="8" eb="10">
      <t>ヒョウジ</t>
    </rPh>
    <phoneticPr fontId="2"/>
  </si>
  <si>
    <t>また、自動計算された費用情報も表示されます。</t>
    <phoneticPr fontId="2"/>
  </si>
  <si>
    <t>背番号、選手／スタッフ、リベロプレーヤー等のデータを入力します。</t>
    <rPh sb="0" eb="3">
      <t>セバンゴウ</t>
    </rPh>
    <rPh sb="4" eb="6">
      <t>センシュ</t>
    </rPh>
    <rPh sb="20" eb="21">
      <t>ナド</t>
    </rPh>
    <rPh sb="26" eb="28">
      <t>ニュウリョク</t>
    </rPh>
    <phoneticPr fontId="2"/>
  </si>
  <si>
    <t>読み仮名</t>
    <phoneticPr fontId="2"/>
  </si>
  <si>
    <t>チーム名の読み仮名</t>
    <phoneticPr fontId="2"/>
  </si>
  <si>
    <t>旧チーム名</t>
    <phoneticPr fontId="2"/>
  </si>
  <si>
    <t>チーム名変更時の旧チーム名</t>
    <phoneticPr fontId="2"/>
  </si>
  <si>
    <t>男子または女子チームの選択</t>
    <phoneticPr fontId="2"/>
  </si>
  <si>
    <t>選択入力</t>
    <phoneticPr fontId="2"/>
  </si>
  <si>
    <t>代表者氏名</t>
    <rPh sb="0" eb="3">
      <t>ダイヒョウシャ</t>
    </rPh>
    <rPh sb="3" eb="5">
      <t>シメイ</t>
    </rPh>
    <phoneticPr fontId="2"/>
  </si>
  <si>
    <t>○</t>
    <phoneticPr fontId="2"/>
  </si>
  <si>
    <t>チームの連絡先住所</t>
    <rPh sb="4" eb="7">
      <t>レンラクサキ</t>
    </rPh>
    <rPh sb="7" eb="9">
      <t>ジュウショ</t>
    </rPh>
    <phoneticPr fontId="2"/>
  </si>
  <si>
    <t>電話番号</t>
    <rPh sb="0" eb="2">
      <t>デンワ</t>
    </rPh>
    <rPh sb="2" eb="4">
      <t>バンゴウ</t>
    </rPh>
    <phoneticPr fontId="2"/>
  </si>
  <si>
    <t>チーム情報は、チーム名、代表者氏名、連絡先などを入力します。</t>
    <rPh sb="3" eb="5">
      <t>ジョウホウ</t>
    </rPh>
    <rPh sb="10" eb="11">
      <t>メイ</t>
    </rPh>
    <rPh sb="12" eb="15">
      <t>ダイヒョウシャ</t>
    </rPh>
    <rPh sb="15" eb="17">
      <t>シメイ</t>
    </rPh>
    <rPh sb="18" eb="20">
      <t>レンラク</t>
    </rPh>
    <rPh sb="20" eb="21">
      <t>サキ</t>
    </rPh>
    <rPh sb="24" eb="26">
      <t>ニュウリョク</t>
    </rPh>
    <phoneticPr fontId="2"/>
  </si>
  <si>
    <t>連絡先の住所</t>
    <rPh sb="0" eb="3">
      <t>レンラクサキ</t>
    </rPh>
    <rPh sb="4" eb="6">
      <t>ジュウショ</t>
    </rPh>
    <phoneticPr fontId="2"/>
  </si>
  <si>
    <t>会員の連絡先住所</t>
    <rPh sb="0" eb="2">
      <t>カイイン</t>
    </rPh>
    <rPh sb="3" eb="6">
      <t>レンラクサキ</t>
    </rPh>
    <rPh sb="6" eb="8">
      <t>ジュウショ</t>
    </rPh>
    <phoneticPr fontId="2"/>
  </si>
  <si>
    <t>Fax番号</t>
    <rPh sb="3" eb="5">
      <t>バンゴウ</t>
    </rPh>
    <phoneticPr fontId="2"/>
  </si>
  <si>
    <t>会員のFax番号</t>
    <rPh sb="0" eb="2">
      <t>カイイン</t>
    </rPh>
    <rPh sb="6" eb="8">
      <t>バンゴウ</t>
    </rPh>
    <phoneticPr fontId="2"/>
  </si>
  <si>
    <t>(データ入力用シート）</t>
    <phoneticPr fontId="2"/>
  </si>
  <si>
    <t>参加区分</t>
    <rPh sb="0" eb="2">
      <t>サンカ</t>
    </rPh>
    <rPh sb="2" eb="4">
      <t>クブン</t>
    </rPh>
    <phoneticPr fontId="2"/>
  </si>
  <si>
    <t>※会員登録申込書の入力内容が表示されます</t>
    <phoneticPr fontId="2"/>
  </si>
  <si>
    <t>リベロ</t>
    <phoneticPr fontId="2"/>
  </si>
  <si>
    <t>リベロプレーヤーの指定</t>
    <rPh sb="9" eb="11">
      <t>シテイ</t>
    </rPh>
    <phoneticPr fontId="2"/>
  </si>
  <si>
    <t>参加チームは、下表に記載されている該当シートの項目にデータを入力してください。</t>
    <rPh sb="0" eb="2">
      <t>サンカ</t>
    </rPh>
    <rPh sb="7" eb="9">
      <t>カヒョウ</t>
    </rPh>
    <rPh sb="10" eb="12">
      <t>キサイ</t>
    </rPh>
    <rPh sb="17" eb="19">
      <t>ガイトウ</t>
    </rPh>
    <rPh sb="23" eb="25">
      <t>コウモク</t>
    </rPh>
    <rPh sb="30" eb="32">
      <t>ニュウリョク</t>
    </rPh>
    <phoneticPr fontId="2"/>
  </si>
  <si>
    <t>チーム代表者の「姓名」と「ふりがな」</t>
    <phoneticPr fontId="2"/>
  </si>
  <si>
    <t>△
(注３)</t>
    <rPh sb="3" eb="4">
      <t>チュウ</t>
    </rPh>
    <phoneticPr fontId="2"/>
  </si>
  <si>
    <t>（注５）</t>
    <rPh sb="1" eb="2">
      <t>チュウ</t>
    </rPh>
    <phoneticPr fontId="2"/>
  </si>
  <si>
    <t>（注５）傷害保険に加入を希望する場合は、必ずチェックしてください。</t>
    <rPh sb="1" eb="2">
      <t>チュウ</t>
    </rPh>
    <rPh sb="4" eb="6">
      <t>ショウガイ</t>
    </rPh>
    <rPh sb="6" eb="8">
      <t>ホケン</t>
    </rPh>
    <rPh sb="9" eb="11">
      <t>カニュウ</t>
    </rPh>
    <rPh sb="12" eb="14">
      <t>キボウ</t>
    </rPh>
    <rPh sb="16" eb="18">
      <t>バアイ</t>
    </rPh>
    <rPh sb="20" eb="21">
      <t>カナラ</t>
    </rPh>
    <phoneticPr fontId="2"/>
  </si>
  <si>
    <t>（注３）Faxをお持ちの方は、なるべくご記載ください。</t>
    <rPh sb="1" eb="2">
      <t>チュウ</t>
    </rPh>
    <rPh sb="9" eb="10">
      <t>モ</t>
    </rPh>
    <rPh sb="12" eb="13">
      <t>カタ</t>
    </rPh>
    <rPh sb="20" eb="22">
      <t>キサイ</t>
    </rPh>
    <phoneticPr fontId="2"/>
  </si>
  <si>
    <t>t.vodafone.ne.jp</t>
  </si>
  <si>
    <t>hotmail.co.jp</t>
  </si>
  <si>
    <t>hotmail.com</t>
  </si>
  <si>
    <r>
      <t>参加希望チームは、必須項目にデータを入力し</t>
    </r>
    <r>
      <rPr>
        <sz val="12"/>
        <color indexed="10"/>
        <rFont val="HG明朝E"/>
        <family val="1"/>
        <charset val="128"/>
      </rPr>
      <t>必ずファイルを保存</t>
    </r>
    <r>
      <rPr>
        <sz val="12"/>
        <color indexed="12"/>
        <rFont val="HG明朝E"/>
        <family val="1"/>
        <charset val="128"/>
      </rPr>
      <t>してください。</t>
    </r>
    <rPh sb="0" eb="2">
      <t>サンカ</t>
    </rPh>
    <rPh sb="2" eb="4">
      <t>キボウ</t>
    </rPh>
    <rPh sb="9" eb="11">
      <t>ヒッス</t>
    </rPh>
    <rPh sb="11" eb="13">
      <t>コウモク</t>
    </rPh>
    <rPh sb="18" eb="20">
      <t>ニュウリョク</t>
    </rPh>
    <rPh sb="21" eb="22">
      <t>カナラ</t>
    </rPh>
    <rPh sb="28" eb="30">
      <t>ホゾン</t>
    </rPh>
    <phoneticPr fontId="2"/>
  </si>
  <si>
    <r>
      <t>その保存したファイルを下記のＥメールアドレスへ</t>
    </r>
    <r>
      <rPr>
        <sz val="12"/>
        <color indexed="10"/>
        <rFont val="HG明朝E"/>
        <family val="1"/>
        <charset val="128"/>
      </rPr>
      <t>添付</t>
    </r>
    <r>
      <rPr>
        <sz val="12"/>
        <color indexed="12"/>
        <rFont val="HG明朝E"/>
        <family val="1"/>
        <charset val="128"/>
      </rPr>
      <t>してご送付ください。</t>
    </r>
    <rPh sb="2" eb="4">
      <t>ホゾン</t>
    </rPh>
    <rPh sb="11" eb="13">
      <t>カキ</t>
    </rPh>
    <rPh sb="23" eb="25">
      <t>テンプ</t>
    </rPh>
    <rPh sb="28" eb="30">
      <t>ソウフ</t>
    </rPh>
    <phoneticPr fontId="2"/>
  </si>
  <si>
    <t>①</t>
    <phoneticPr fontId="1"/>
  </si>
  <si>
    <t>登録済み会員</t>
    <rPh sb="0" eb="2">
      <t>トウロク</t>
    </rPh>
    <rPh sb="2" eb="3">
      <t>ズ</t>
    </rPh>
    <rPh sb="4" eb="6">
      <t>カイイン</t>
    </rPh>
    <phoneticPr fontId="1"/>
  </si>
  <si>
    <t>備　考
（自由にご記載ください）</t>
    <rPh sb="0" eb="1">
      <t>ソナエ</t>
    </rPh>
    <rPh sb="2" eb="3">
      <t>コウ</t>
    </rPh>
    <rPh sb="5" eb="7">
      <t>ジユウ</t>
    </rPh>
    <rPh sb="9" eb="11">
      <t>キサイ</t>
    </rPh>
    <phoneticPr fontId="8"/>
  </si>
  <si>
    <t>聴者　(一般）</t>
    <rPh sb="0" eb="2">
      <t>チョウシャ</t>
    </rPh>
    <rPh sb="4" eb="6">
      <t>イッパン</t>
    </rPh>
    <phoneticPr fontId="1"/>
  </si>
  <si>
    <t>新 規 会 員</t>
    <rPh sb="0" eb="1">
      <t>シン</t>
    </rPh>
    <rPh sb="2" eb="3">
      <t>キ</t>
    </rPh>
    <rPh sb="4" eb="5">
      <t>カイ</t>
    </rPh>
    <rPh sb="6" eb="7">
      <t>イン</t>
    </rPh>
    <phoneticPr fontId="1"/>
  </si>
  <si>
    <t>一般</t>
    <phoneticPr fontId="1"/>
  </si>
  <si>
    <t>高校生以下</t>
    <phoneticPr fontId="1"/>
  </si>
  <si>
    <t>選手</t>
    <phoneticPr fontId="1"/>
  </si>
  <si>
    <t>高校生以下</t>
    <phoneticPr fontId="1"/>
  </si>
  <si>
    <t>早期割引
会員</t>
    <rPh sb="0" eb="2">
      <t>ソウキ</t>
    </rPh>
    <rPh sb="2" eb="4">
      <t>ワリビキ</t>
    </rPh>
    <rPh sb="5" eb="7">
      <t>カイイン</t>
    </rPh>
    <phoneticPr fontId="1"/>
  </si>
  <si>
    <t>【 チ ー ム 情 報 】</t>
    <rPh sb="8" eb="9">
      <t>ジョウ</t>
    </rPh>
    <rPh sb="10" eb="11">
      <t>ホウ</t>
    </rPh>
    <phoneticPr fontId="1"/>
  </si>
  <si>
    <t>【 参 加 費 用  】</t>
    <rPh sb="2" eb="3">
      <t>サン</t>
    </rPh>
    <rPh sb="4" eb="5">
      <t>カ</t>
    </rPh>
    <rPh sb="6" eb="7">
      <t>ヒ</t>
    </rPh>
    <rPh sb="8" eb="9">
      <t>ヨウ</t>
    </rPh>
    <phoneticPr fontId="1"/>
  </si>
  <si>
    <t>人</t>
    <phoneticPr fontId="1"/>
  </si>
  <si>
    <t>人</t>
    <phoneticPr fontId="1"/>
  </si>
  <si>
    <t>人</t>
    <rPh sb="0" eb="1">
      <t>ニン</t>
    </rPh>
    <phoneticPr fontId="1"/>
  </si>
  <si>
    <t>会員人数</t>
    <rPh sb="0" eb="2">
      <t>カイイン</t>
    </rPh>
    <rPh sb="2" eb="3">
      <t>ヒト</t>
    </rPh>
    <phoneticPr fontId="1"/>
  </si>
  <si>
    <t>参加人数</t>
    <rPh sb="2" eb="3">
      <t>ニン</t>
    </rPh>
    <phoneticPr fontId="1"/>
  </si>
  <si>
    <t>JDVA会員登録状況</t>
    <rPh sb="4" eb="6">
      <t>カイイン</t>
    </rPh>
    <rPh sb="6" eb="8">
      <t>トウロク</t>
    </rPh>
    <rPh sb="8" eb="10">
      <t>ジョウキョウ</t>
    </rPh>
    <phoneticPr fontId="1"/>
  </si>
  <si>
    <t>（今回登録）</t>
    <rPh sb="1" eb="3">
      <t>コンカイ</t>
    </rPh>
    <rPh sb="3" eb="5">
      <t>トウロク</t>
    </rPh>
    <phoneticPr fontId="1"/>
  </si>
  <si>
    <t>早期割引会員</t>
    <rPh sb="0" eb="2">
      <t>ソウキ</t>
    </rPh>
    <rPh sb="2" eb="4">
      <t>ワリビキ</t>
    </rPh>
    <rPh sb="4" eb="6">
      <t>カイイン</t>
    </rPh>
    <phoneticPr fontId="1"/>
  </si>
  <si>
    <t>通常会員</t>
    <rPh sb="0" eb="2">
      <t>ツウジョウ</t>
    </rPh>
    <rPh sb="2" eb="4">
      <t>カイイン</t>
    </rPh>
    <phoneticPr fontId="1"/>
  </si>
  <si>
    <t>【 参加者情報 】</t>
    <rPh sb="2" eb="5">
      <t>サンカシャ</t>
    </rPh>
    <rPh sb="5" eb="7">
      <t>ジョウホウ</t>
    </rPh>
    <phoneticPr fontId="1"/>
  </si>
  <si>
    <t>参加者氏名</t>
    <rPh sb="0" eb="3">
      <t>サンカシャ</t>
    </rPh>
    <rPh sb="3" eb="5">
      <t>シメイ</t>
    </rPh>
    <phoneticPr fontId="1"/>
  </si>
  <si>
    <t>聴者</t>
    <rPh sb="0" eb="2">
      <t>チョウシャ</t>
    </rPh>
    <phoneticPr fontId="1"/>
  </si>
  <si>
    <t>聴者</t>
    <phoneticPr fontId="1"/>
  </si>
  <si>
    <t>JDVA会員登録状況</t>
    <rPh sb="4" eb="6">
      <t>カイイン</t>
    </rPh>
    <rPh sb="6" eb="8">
      <t>トウロク</t>
    </rPh>
    <rPh sb="8" eb="10">
      <t>ジョウキョウ</t>
    </rPh>
    <phoneticPr fontId="9"/>
  </si>
  <si>
    <t>チームが活動する都道府県名</t>
    <rPh sb="4" eb="6">
      <t>カツドウ</t>
    </rPh>
    <rPh sb="8" eb="12">
      <t>トドウフケン</t>
    </rPh>
    <rPh sb="12" eb="13">
      <t>メイ</t>
    </rPh>
    <phoneticPr fontId="9"/>
  </si>
  <si>
    <t>（</t>
    <phoneticPr fontId="9"/>
  </si>
  <si>
    <t>)</t>
    <phoneticPr fontId="9"/>
  </si>
  <si>
    <t>早期割引会員</t>
    <phoneticPr fontId="1"/>
  </si>
  <si>
    <t>通常会員</t>
    <phoneticPr fontId="1"/>
  </si>
  <si>
    <t>個人費用（早期割引前）</t>
    <rPh sb="5" eb="7">
      <t>ソウキ</t>
    </rPh>
    <rPh sb="7" eb="9">
      <t>ワリビキ</t>
    </rPh>
    <rPh sb="9" eb="10">
      <t>マエ</t>
    </rPh>
    <phoneticPr fontId="1"/>
  </si>
  <si>
    <t>個人費用（早期割引後）</t>
    <rPh sb="0" eb="2">
      <t>コジン</t>
    </rPh>
    <rPh sb="2" eb="4">
      <t>ヒヨウ</t>
    </rPh>
    <rPh sb="5" eb="7">
      <t>ソウキ</t>
    </rPh>
    <rPh sb="7" eb="9">
      <t>ワリビキ</t>
    </rPh>
    <rPh sb="9" eb="10">
      <t>ゴ</t>
    </rPh>
    <phoneticPr fontId="1"/>
  </si>
  <si>
    <t>参加者は、申込時に以下の対応をお願いいたします。</t>
    <rPh sb="0" eb="3">
      <t>サンカシャ</t>
    </rPh>
    <rPh sb="5" eb="7">
      <t>モウシコミ</t>
    </rPh>
    <rPh sb="7" eb="8">
      <t>ジ</t>
    </rPh>
    <rPh sb="9" eb="11">
      <t>イカ</t>
    </rPh>
    <rPh sb="12" eb="14">
      <t>タイオウ</t>
    </rPh>
    <rPh sb="16" eb="17">
      <t>ネガ</t>
    </rPh>
    <phoneticPr fontId="2"/>
  </si>
  <si>
    <t>②</t>
    <phoneticPr fontId="1"/>
  </si>
  <si>
    <t>③</t>
    <phoneticPr fontId="2"/>
  </si>
  <si>
    <r>
      <t>（※）黄色の箇所にデータを入力してください</t>
    </r>
    <r>
      <rPr>
        <sz val="11"/>
        <color indexed="12"/>
        <rFont val="ＭＳ Ｐゴシック"/>
        <family val="3"/>
        <charset val="128"/>
      </rPr>
      <t>。</t>
    </r>
    <rPh sb="3" eb="5">
      <t>キイロ</t>
    </rPh>
    <rPh sb="6" eb="8">
      <t>カショ</t>
    </rPh>
    <rPh sb="13" eb="15">
      <t>ニュウリョク</t>
    </rPh>
    <phoneticPr fontId="1"/>
  </si>
  <si>
    <t>参加者登録申込書</t>
    <rPh sb="0" eb="3">
      <t>サンカシャ</t>
    </rPh>
    <rPh sb="3" eb="5">
      <t>トウロク</t>
    </rPh>
    <phoneticPr fontId="2"/>
  </si>
  <si>
    <t>チーム情報と参加者情報を入力するシートです。</t>
    <rPh sb="3" eb="5">
      <t>ジョウホウ</t>
    </rPh>
    <rPh sb="6" eb="9">
      <t>サンカシャ</t>
    </rPh>
    <rPh sb="9" eb="11">
      <t>ジョウホウ</t>
    </rPh>
    <rPh sb="12" eb="14">
      <t>ニュウリョク</t>
    </rPh>
    <phoneticPr fontId="2"/>
  </si>
  <si>
    <t>②選手登録名簿</t>
    <rPh sb="1" eb="3">
      <t>センシュ</t>
    </rPh>
    <phoneticPr fontId="2"/>
  </si>
  <si>
    <t>選手、監督、スタッフ情報を入力するシートです。</t>
    <rPh sb="0" eb="2">
      <t>センシュ</t>
    </rPh>
    <rPh sb="3" eb="5">
      <t>カントク</t>
    </rPh>
    <rPh sb="10" eb="12">
      <t>ジョウホウ</t>
    </rPh>
    <rPh sb="13" eb="15">
      <t>ニュウリョク</t>
    </rPh>
    <phoneticPr fontId="2"/>
  </si>
  <si>
    <t>（※氏名は、「参加者登録申込書」に記載された内容が自動表示されます）</t>
    <rPh sb="2" eb="4">
      <t>シメイ</t>
    </rPh>
    <rPh sb="7" eb="10">
      <t>サンカシャ</t>
    </rPh>
    <rPh sb="10" eb="12">
      <t>トウロク</t>
    </rPh>
    <rPh sb="12" eb="15">
      <t>モウシコミショ</t>
    </rPh>
    <rPh sb="17" eb="19">
      <t>キサイ</t>
    </rPh>
    <rPh sb="22" eb="24">
      <t>ナイヨウ</t>
    </rPh>
    <rPh sb="25" eb="27">
      <t>ジドウ</t>
    </rPh>
    <rPh sb="27" eb="29">
      <t>ヒョウジ</t>
    </rPh>
    <phoneticPr fontId="2"/>
  </si>
  <si>
    <t>参加者登録申込書</t>
    <rPh sb="0" eb="3">
      <t>サンカシャ</t>
    </rPh>
    <phoneticPr fontId="2"/>
  </si>
  <si>
    <t>都道府県名</t>
    <rPh sb="0" eb="4">
      <t>トドウフケン</t>
    </rPh>
    <rPh sb="4" eb="5">
      <t>メイ</t>
    </rPh>
    <phoneticPr fontId="2"/>
  </si>
  <si>
    <t>チームの活動場所</t>
    <rPh sb="4" eb="6">
      <t>カツドウ</t>
    </rPh>
    <rPh sb="6" eb="8">
      <t>バショ</t>
    </rPh>
    <phoneticPr fontId="2"/>
  </si>
  <si>
    <t>参加者氏名</t>
    <rPh sb="0" eb="3">
      <t>サンカシャ</t>
    </rPh>
    <rPh sb="3" eb="5">
      <t>シメイ</t>
    </rPh>
    <phoneticPr fontId="2"/>
  </si>
  <si>
    <t>参加者の「姓名」と「ふりがな」</t>
    <rPh sb="0" eb="3">
      <t>サンカシャ</t>
    </rPh>
    <rPh sb="5" eb="7">
      <t>セイメイ</t>
    </rPh>
    <phoneticPr fontId="2"/>
  </si>
  <si>
    <t>選択入力</t>
    <phoneticPr fontId="2"/>
  </si>
  <si>
    <t>○</t>
    <phoneticPr fontId="2"/>
  </si>
  <si>
    <t>　　・今回登録</t>
    <rPh sb="3" eb="5">
      <t>コンカイ</t>
    </rPh>
    <rPh sb="5" eb="7">
      <t>トウロク</t>
    </rPh>
    <phoneticPr fontId="2"/>
  </si>
  <si>
    <t>　　・早期割引会員</t>
    <rPh sb="3" eb="5">
      <t>ソウキ</t>
    </rPh>
    <rPh sb="5" eb="7">
      <t>ワリビキ</t>
    </rPh>
    <rPh sb="7" eb="9">
      <t>カイイン</t>
    </rPh>
    <phoneticPr fontId="2"/>
  </si>
  <si>
    <t>　　・通常会員</t>
    <rPh sb="3" eb="5">
      <t>ツウジョウ</t>
    </rPh>
    <rPh sb="5" eb="7">
      <t>カイイン</t>
    </rPh>
    <phoneticPr fontId="2"/>
  </si>
  <si>
    <t>参加者の生年月日</t>
    <rPh sb="0" eb="3">
      <t>サンカシャ</t>
    </rPh>
    <rPh sb="4" eb="6">
      <t>セイネン</t>
    </rPh>
    <rPh sb="6" eb="8">
      <t>ガッピ</t>
    </rPh>
    <phoneticPr fontId="2"/>
  </si>
  <si>
    <t>駐車予定台数</t>
    <rPh sb="0" eb="2">
      <t>チュウシャ</t>
    </rPh>
    <rPh sb="2" eb="4">
      <t>ヨテイ</t>
    </rPh>
    <rPh sb="4" eb="6">
      <t>ダイスウ</t>
    </rPh>
    <phoneticPr fontId="2"/>
  </si>
  <si>
    <t>予定数</t>
    <rPh sb="0" eb="2">
      <t>ヨテイ</t>
    </rPh>
    <rPh sb="2" eb="3">
      <t>スウ</t>
    </rPh>
    <phoneticPr fontId="2"/>
  </si>
  <si>
    <t>駐車予定台数</t>
    <rPh sb="2" eb="4">
      <t>ヨテイ</t>
    </rPh>
    <phoneticPr fontId="1"/>
  </si>
  <si>
    <t>※参加者登録申込書の入力内容が表示されます</t>
    <rPh sb="1" eb="4">
      <t>サンカシャ</t>
    </rPh>
    <rPh sb="10" eb="12">
      <t>ニュウリョク</t>
    </rPh>
    <rPh sb="12" eb="14">
      <t>ナイヨウ</t>
    </rPh>
    <rPh sb="15" eb="17">
      <t>ヒョウジ</t>
    </rPh>
    <phoneticPr fontId="2"/>
  </si>
  <si>
    <t>『参加者登録申込書』と『選手登録名簿』を記入するものです。</t>
    <rPh sb="1" eb="4">
      <t>サンカシャ</t>
    </rPh>
    <rPh sb="4" eb="6">
      <t>トウロク</t>
    </rPh>
    <rPh sb="12" eb="14">
      <t>センシュ</t>
    </rPh>
    <rPh sb="14" eb="16">
      <t>トウロク</t>
    </rPh>
    <rPh sb="16" eb="18">
      <t>メイボ</t>
    </rPh>
    <rPh sb="20" eb="22">
      <t>キニュウ</t>
    </rPh>
    <phoneticPr fontId="2"/>
  </si>
  <si>
    <t>【 チーム情報 】・・・（※）青色の箇所にデータを入力してください</t>
    <rPh sb="5" eb="7">
      <t>ジョウホウ</t>
    </rPh>
    <rPh sb="15" eb="17">
      <t>アオイロ</t>
    </rPh>
    <rPh sb="18" eb="20">
      <t>カショ</t>
    </rPh>
    <rPh sb="25" eb="27">
      <t>ニュウリョク</t>
    </rPh>
    <phoneticPr fontId="1"/>
  </si>
  <si>
    <t>会員</t>
    <rPh sb="0" eb="2">
      <t>カイイン</t>
    </rPh>
    <phoneticPr fontId="1"/>
  </si>
  <si>
    <t>非会員</t>
    <rPh sb="0" eb="3">
      <t>ヒカイイン</t>
    </rPh>
    <phoneticPr fontId="1"/>
  </si>
  <si>
    <t>（※）青色の箇所にデータを入力してください</t>
    <rPh sb="3" eb="4">
      <t>アオ</t>
    </rPh>
    <phoneticPr fontId="9"/>
  </si>
  <si>
    <t>【重要】</t>
    <rPh sb="1" eb="3">
      <t>ジュウヨウ</t>
    </rPh>
    <phoneticPr fontId="9"/>
  </si>
  <si>
    <t>NEC玉川会場への
入場希望者数</t>
    <rPh sb="3" eb="5">
      <t>タマガワ</t>
    </rPh>
    <rPh sb="5" eb="7">
      <t>カイジョウ</t>
    </rPh>
    <rPh sb="10" eb="12">
      <t>ニュウジョウ</t>
    </rPh>
    <rPh sb="12" eb="15">
      <t>キボウシャ</t>
    </rPh>
    <rPh sb="15" eb="16">
      <t>スウ</t>
    </rPh>
    <phoneticPr fontId="9"/>
  </si>
  <si>
    <r>
      <t>(※)NEC玉川アリーナでは企業の敷地内のため、入場する場合は入場人数を申告する必要があります。
　　　</t>
    </r>
    <r>
      <rPr>
        <b/>
        <u/>
        <sz val="12"/>
        <color indexed="10"/>
        <rFont val="ＭＳ ゴシック"/>
        <family val="3"/>
        <charset val="128"/>
      </rPr>
      <t>スタッフ・選手分を除いた『応援者・関係者（家族など）の人数』</t>
    </r>
    <r>
      <rPr>
        <b/>
        <sz val="12"/>
        <color indexed="10"/>
        <rFont val="ＭＳ ゴシック"/>
        <family val="3"/>
        <charset val="128"/>
      </rPr>
      <t>を入力してください</t>
    </r>
    <r>
      <rPr>
        <sz val="12"/>
        <color indexed="10"/>
        <rFont val="ＭＳ ゴシック"/>
        <family val="3"/>
        <charset val="128"/>
      </rPr>
      <t xml:space="preserve">。
</t>
    </r>
    <r>
      <rPr>
        <sz val="12"/>
        <color indexed="10"/>
        <rFont val="ＭＳ ゴシック"/>
        <family val="3"/>
        <charset val="128"/>
      </rPr>
      <t>【 申告の無い方はご入場できない可能性があります 】</t>
    </r>
    <phoneticPr fontId="9"/>
  </si>
  <si>
    <t>△
（注３）</t>
    <rPh sb="3" eb="4">
      <t>チュウ</t>
    </rPh>
    <phoneticPr fontId="2"/>
  </si>
  <si>
    <t>（注３）「参加区分」が「スタッフ」の場合は、必ず入力してください。</t>
    <rPh sb="1" eb="2">
      <t>チュウ</t>
    </rPh>
    <rPh sb="5" eb="7">
      <t>サンカ</t>
    </rPh>
    <rPh sb="7" eb="9">
      <t>クブン</t>
    </rPh>
    <rPh sb="18" eb="20">
      <t>バアイ</t>
    </rPh>
    <rPh sb="22" eb="23">
      <t>カナラ</t>
    </rPh>
    <rPh sb="24" eb="26">
      <t>ニュウリョク</t>
    </rPh>
    <phoneticPr fontId="2"/>
  </si>
  <si>
    <t>（注）年齢は、2020年4月1日現在の日付で計算しています。</t>
    <rPh sb="1" eb="2">
      <t>チュウ</t>
    </rPh>
    <rPh sb="11" eb="12">
      <t>ネン</t>
    </rPh>
    <rPh sb="13" eb="14">
      <t>ガツ</t>
    </rPh>
    <rPh sb="15" eb="16">
      <t>ニチ</t>
    </rPh>
    <phoneticPr fontId="8"/>
  </si>
  <si>
    <t>　受信拒否しない設定をして下さい。</t>
    <phoneticPr fontId="2"/>
  </si>
  <si>
    <t>リベロプレーヤーをチェックしてください。
　　(※）選手登録が12名を超える場合、必ずリベロプレーヤー2名の登録が必須
　　(※) 12名以下の場合は、リベロプレーヤー0～2名登録可能</t>
    <phoneticPr fontId="1"/>
  </si>
  <si>
    <t>＜選 手 登 録 名 簿＞</t>
    <rPh sb="1" eb="2">
      <t>セン</t>
    </rPh>
    <rPh sb="3" eb="4">
      <t>テ</t>
    </rPh>
    <phoneticPr fontId="1"/>
  </si>
  <si>
    <t>＜参 加 者 登 録 申 込 書＞</t>
    <rPh sb="1" eb="2">
      <t>サン</t>
    </rPh>
    <rPh sb="3" eb="4">
      <t>カ</t>
    </rPh>
    <rPh sb="5" eb="6">
      <t>モノ</t>
    </rPh>
    <rPh sb="7" eb="8">
      <t>ノボル</t>
    </rPh>
    <rPh sb="9" eb="10">
      <t>ロク</t>
    </rPh>
    <rPh sb="11" eb="12">
      <t>サル</t>
    </rPh>
    <rPh sb="13" eb="14">
      <t>コ</t>
    </rPh>
    <rPh sb="15" eb="16">
      <t>ショ</t>
    </rPh>
    <phoneticPr fontId="9"/>
  </si>
  <si>
    <t>※シート「②選手登録名簿」で傷害保険加入希望にチェックした氏名を表示しています。</t>
    <rPh sb="6" eb="8">
      <t>センシュ</t>
    </rPh>
    <rPh sb="29" eb="31">
      <t>シメイ</t>
    </rPh>
    <rPh sb="32" eb="34">
      <t>ヒョウジ</t>
    </rPh>
    <phoneticPr fontId="8"/>
  </si>
  <si>
    <t>（※）上記のアドレスをクリックするとＥメールの送信画面が表示されます。</t>
    <rPh sb="3" eb="5">
      <t>ジョウキ</t>
    </rPh>
    <rPh sb="23" eb="25">
      <t>ソウシン</t>
    </rPh>
    <rPh sb="25" eb="27">
      <t>ガメン</t>
    </rPh>
    <rPh sb="28" eb="30">
      <t>ヒョウジ</t>
    </rPh>
    <phoneticPr fontId="2"/>
  </si>
  <si>
    <t>Ｅメール</t>
    <phoneticPr fontId="2"/>
  </si>
  <si>
    <t>チームの連絡先Ｅメールアドレス</t>
    <rPh sb="4" eb="7">
      <t>レンラクサキ</t>
    </rPh>
    <phoneticPr fontId="2"/>
  </si>
  <si>
    <t>ＦＡＸ番号</t>
    <rPh sb="3" eb="5">
      <t>バンゴウ</t>
    </rPh>
    <phoneticPr fontId="2"/>
  </si>
  <si>
    <t>チームの連絡先電話番号とＦＡＸ番号</t>
    <rPh sb="4" eb="7">
      <t>レンラクサキ</t>
    </rPh>
    <rPh sb="7" eb="9">
      <t>デンワ</t>
    </rPh>
    <rPh sb="9" eb="11">
      <t>バンゴウ</t>
    </rPh>
    <rPh sb="15" eb="17">
      <t>バンゴウ</t>
    </rPh>
    <phoneticPr fontId="2"/>
  </si>
  <si>
    <t>ＤＥＡＦ／聴者／高校生以下の選択</t>
    <phoneticPr fontId="2"/>
  </si>
  <si>
    <t>ＪＤＶＡ会員登録の状態</t>
    <rPh sb="4" eb="6">
      <t>カイイン</t>
    </rPh>
    <rPh sb="6" eb="8">
      <t>トウロク</t>
    </rPh>
    <rPh sb="9" eb="11">
      <t>ジョウタイ</t>
    </rPh>
    <phoneticPr fontId="2"/>
  </si>
  <si>
    <t>ＪＤＶＡ会員登録</t>
    <rPh sb="4" eb="6">
      <t>カイイン</t>
    </rPh>
    <rPh sb="6" eb="8">
      <t>トウロク</t>
    </rPh>
    <phoneticPr fontId="2"/>
  </si>
  <si>
    <t>Ｅメールアドレス</t>
    <phoneticPr fontId="2"/>
  </si>
  <si>
    <t>会員のＥメールアドレス</t>
    <rPh sb="0" eb="2">
      <t>カイイン</t>
    </rPh>
    <phoneticPr fontId="2"/>
  </si>
  <si>
    <t>（監督／コーチ／スタッフ）</t>
    <phoneticPr fontId="2"/>
  </si>
  <si>
    <t>（携帯）</t>
    <rPh sb="1" eb="3">
      <t>ケイタイ</t>
    </rPh>
    <phoneticPr fontId="2"/>
  </si>
  <si>
    <t>（パソコン）</t>
    <phoneticPr fontId="2"/>
  </si>
  <si>
    <t>○
（注１）</t>
    <rPh sb="3" eb="4">
      <t>チュウ</t>
    </rPh>
    <phoneticPr fontId="2"/>
  </si>
  <si>
    <t>○
（注２）</t>
    <rPh sb="3" eb="4">
      <t>チュウ</t>
    </rPh>
    <phoneticPr fontId="2"/>
  </si>
  <si>
    <t>（※入力不要）</t>
    <rPh sb="2" eb="4">
      <t>ニュウリョク</t>
    </rPh>
    <rPh sb="4" eb="6">
      <t>フヨウ</t>
    </rPh>
    <phoneticPr fontId="2"/>
  </si>
  <si>
    <r>
      <t>入力方法（</t>
    </r>
    <r>
      <rPr>
        <sz val="12"/>
        <color indexed="10"/>
        <rFont val="ＭＳ Ｐゴシック"/>
        <family val="3"/>
        <charset val="128"/>
      </rPr>
      <t>※）</t>
    </r>
    <rPh sb="0" eb="2">
      <t>ニュウリョク</t>
    </rPh>
    <rPh sb="2" eb="4">
      <t>ホウホウ</t>
    </rPh>
    <phoneticPr fontId="2"/>
  </si>
  <si>
    <t>（チーム情報）</t>
    <phoneticPr fontId="2"/>
  </si>
  <si>
    <t>（参加者情報）</t>
    <rPh sb="1" eb="4">
      <t>サンカシャ</t>
    </rPh>
    <phoneticPr fontId="2"/>
  </si>
  <si>
    <t>（注１）「パソコンＥメール」か「携帯Ｅメール」のいずれかを必ず入力してください。</t>
    <rPh sb="1" eb="2">
      <t>チュウ</t>
    </rPh>
    <rPh sb="16" eb="18">
      <t>ケイタイ</t>
    </rPh>
    <rPh sb="29" eb="30">
      <t>カナラ</t>
    </rPh>
    <rPh sb="31" eb="33">
      <t>ニュウリョク</t>
    </rPh>
    <phoneticPr fontId="2"/>
  </si>
  <si>
    <t>（注２）「電話番号」か「ＦＡＸ番号」のいずれかを必ず入力してください。</t>
    <rPh sb="1" eb="2">
      <t>チュウ</t>
    </rPh>
    <rPh sb="5" eb="7">
      <t>デンワ</t>
    </rPh>
    <rPh sb="7" eb="9">
      <t>バンゴウ</t>
    </rPh>
    <rPh sb="15" eb="17">
      <t>バンゴウ</t>
    </rPh>
    <rPh sb="24" eb="25">
      <t>カナラ</t>
    </rPh>
    <rPh sb="26" eb="28">
      <t>ニュウリョク</t>
    </rPh>
    <phoneticPr fontId="2"/>
  </si>
  <si>
    <t>この状態で「ＤＥＡＦ」の個所を</t>
    <rPh sb="2" eb="4">
      <t>ジョウタイ</t>
    </rPh>
    <rPh sb="12" eb="14">
      <t>カショ</t>
    </rPh>
    <phoneticPr fontId="2"/>
  </si>
  <si>
    <t>Ｅメール</t>
    <phoneticPr fontId="1"/>
  </si>
  <si>
    <t>Ｅメールアドレス</t>
    <phoneticPr fontId="9"/>
  </si>
  <si>
    <t>ＪＤＶＡ
会員登録</t>
    <rPh sb="5" eb="7">
      <t>カイイン</t>
    </rPh>
    <rPh sb="7" eb="9">
      <t>トウロク</t>
    </rPh>
    <phoneticPr fontId="9"/>
  </si>
  <si>
    <t>○今回の大会でＪＤＶＡ会員登録をする方：　連絡先の情報を必ず入力してください。</t>
    <rPh sb="1" eb="3">
      <t>コンカイ</t>
    </rPh>
    <rPh sb="4" eb="6">
      <t>タイカイ</t>
    </rPh>
    <rPh sb="11" eb="13">
      <t>カイイン</t>
    </rPh>
    <rPh sb="13" eb="15">
      <t>トウロク</t>
    </rPh>
    <rPh sb="18" eb="19">
      <t>カタ</t>
    </rPh>
    <phoneticPr fontId="2"/>
  </si>
  <si>
    <t>○既にＪＤＶＡ会員登録をしている方</t>
    <rPh sb="1" eb="2">
      <t>スデ</t>
    </rPh>
    <rPh sb="7" eb="9">
      <t>カイイン</t>
    </rPh>
    <rPh sb="9" eb="11">
      <t>トウロク</t>
    </rPh>
    <rPh sb="16" eb="17">
      <t>カタ</t>
    </rPh>
    <phoneticPr fontId="2"/>
  </si>
  <si>
    <t>・届け済みの連絡先に「変更がある方」：　新しい連絡先を入力してください。</t>
    <rPh sb="1" eb="2">
      <t>トド</t>
    </rPh>
    <rPh sb="3" eb="4">
      <t>ズ</t>
    </rPh>
    <rPh sb="6" eb="9">
      <t>レンラクサキ</t>
    </rPh>
    <rPh sb="11" eb="13">
      <t>ヘンコウ</t>
    </rPh>
    <rPh sb="16" eb="17">
      <t>カタ</t>
    </rPh>
    <rPh sb="20" eb="21">
      <t>アタラ</t>
    </rPh>
    <rPh sb="23" eb="26">
      <t>レンラクサキ</t>
    </rPh>
    <rPh sb="27" eb="29">
      <t>ニュウリョク</t>
    </rPh>
    <phoneticPr fontId="2"/>
  </si>
  <si>
    <t>・届け済みの連絡先に「変更がない方」：　入力は不要です。</t>
    <rPh sb="1" eb="2">
      <t>トド</t>
    </rPh>
    <rPh sb="3" eb="4">
      <t>ズ</t>
    </rPh>
    <rPh sb="6" eb="9">
      <t>レンラクサキ</t>
    </rPh>
    <rPh sb="11" eb="13">
      <t>ヘンコウ</t>
    </rPh>
    <rPh sb="16" eb="17">
      <t>カタ</t>
    </rPh>
    <rPh sb="20" eb="22">
      <t>ニュウリョク</t>
    </rPh>
    <rPh sb="23" eb="25">
      <t>フヨウ</t>
    </rPh>
    <phoneticPr fontId="2"/>
  </si>
  <si>
    <t>○今回の大会では住所の確認は代表者のみとし、選手はメールアドレスをＥメールが</t>
    <rPh sb="1" eb="3">
      <t>コンカイ</t>
    </rPh>
    <rPh sb="4" eb="6">
      <t>タイカイ</t>
    </rPh>
    <rPh sb="8" eb="10">
      <t>ジュウショ</t>
    </rPh>
    <rPh sb="11" eb="13">
      <t>カクニン</t>
    </rPh>
    <rPh sb="14" eb="17">
      <t>ダイヒョウシャ</t>
    </rPh>
    <rPh sb="22" eb="24">
      <t>センシュ</t>
    </rPh>
    <phoneticPr fontId="2"/>
  </si>
  <si>
    <t>　受信できるアドレスで入力してください。</t>
    <rPh sb="1" eb="3">
      <t>ジュシン</t>
    </rPh>
    <rPh sb="11" eb="13">
      <t>ニュウリョク</t>
    </rPh>
    <phoneticPr fontId="2"/>
  </si>
  <si>
    <t>選手の身長（cm）</t>
    <rPh sb="0" eb="2">
      <t>センシュ</t>
    </rPh>
    <rPh sb="3" eb="5">
      <t>シンチョウ</t>
    </rPh>
    <phoneticPr fontId="2"/>
  </si>
  <si>
    <r>
      <rPr>
        <sz val="12"/>
        <color indexed="10"/>
        <rFont val="HG明朝E"/>
        <family val="1"/>
        <charset val="128"/>
      </rPr>
      <t>赤色</t>
    </r>
    <r>
      <rPr>
        <sz val="12"/>
        <rFont val="HG明朝E"/>
        <family val="1"/>
        <charset val="128"/>
      </rPr>
      <t>表示されます。</t>
    </r>
    <phoneticPr fontId="2"/>
  </si>
  <si>
    <t>警告メッセージが赤色表示されます</t>
    <rPh sb="0" eb="2">
      <t>ケイコク</t>
    </rPh>
    <rPh sb="8" eb="10">
      <t>アカイロ</t>
    </rPh>
    <rPh sb="10" eb="12">
      <t>ヒョウジ</t>
    </rPh>
    <phoneticPr fontId="2"/>
  </si>
  <si>
    <t>ピンク色に変わります</t>
    <rPh sb="3" eb="4">
      <t>イロ</t>
    </rPh>
    <rPh sb="5" eb="6">
      <t>カ</t>
    </rPh>
    <phoneticPr fontId="2"/>
  </si>
  <si>
    <t>登録・申込みに関する個人情報は、ＪＤＶＡの事業に必要な範囲内で適正に利用いたします。</t>
    <rPh sb="0" eb="2">
      <t>トウロク</t>
    </rPh>
    <rPh sb="3" eb="5">
      <t>モウシコ</t>
    </rPh>
    <rPh sb="7" eb="8">
      <t>カン</t>
    </rPh>
    <rPh sb="10" eb="12">
      <t>コジン</t>
    </rPh>
    <rPh sb="12" eb="14">
      <t>ジョウホウ</t>
    </rPh>
    <rPh sb="21" eb="23">
      <t>ジギョウ</t>
    </rPh>
    <rPh sb="24" eb="26">
      <t>ヒツヨウ</t>
    </rPh>
    <rPh sb="27" eb="30">
      <t>ハンイナイ</t>
    </rPh>
    <rPh sb="31" eb="33">
      <t>テキセイ</t>
    </rPh>
    <rPh sb="34" eb="36">
      <t>リヨウ</t>
    </rPh>
    <phoneticPr fontId="2"/>
  </si>
  <si>
    <t>氏名が重複しています</t>
    <rPh sb="0" eb="2">
      <t>シメイ</t>
    </rPh>
    <rPh sb="3" eb="5">
      <t>チョウフク</t>
    </rPh>
    <phoneticPr fontId="2"/>
  </si>
  <si>
    <t>選手の背番号が入力されていません</t>
    <rPh sb="0" eb="2">
      <t>センシュ</t>
    </rPh>
    <rPh sb="3" eb="6">
      <t>セバンゴウ</t>
    </rPh>
    <rPh sb="7" eb="9">
      <t>ニュウリョク</t>
    </rPh>
    <phoneticPr fontId="2"/>
  </si>
  <si>
    <t>背番号が重複しています</t>
    <rPh sb="0" eb="3">
      <t>セバンゴウ</t>
    </rPh>
    <rPh sb="4" eb="6">
      <t>チョウフク</t>
    </rPh>
    <phoneticPr fontId="2"/>
  </si>
  <si>
    <t>パソコンEメール</t>
    <phoneticPr fontId="1"/>
  </si>
  <si>
    <t>携帯Eメール</t>
    <rPh sb="0" eb="2">
      <t>ケイタイ</t>
    </rPh>
    <phoneticPr fontId="1"/>
  </si>
  <si>
    <t>※Eメールは、事務連絡および大会連絡（組合せ、結果速報、お知らせ等）に利用いたします。</t>
    <rPh sb="7" eb="9">
      <t>ジム</t>
    </rPh>
    <rPh sb="9" eb="11">
      <t>レンラク</t>
    </rPh>
    <rPh sb="14" eb="16">
      <t>タイカイ</t>
    </rPh>
    <rPh sb="16" eb="18">
      <t>レンラク</t>
    </rPh>
    <rPh sb="19" eb="21">
      <t>クミアワ</t>
    </rPh>
    <rPh sb="23" eb="25">
      <t>ケッカ</t>
    </rPh>
    <rPh sb="25" eb="27">
      <t>ソクホウ</t>
    </rPh>
    <rPh sb="29" eb="30">
      <t>シ</t>
    </rPh>
    <rPh sb="32" eb="33">
      <t>ナド</t>
    </rPh>
    <rPh sb="35" eb="37">
      <t>リヨウ</t>
    </rPh>
    <phoneticPr fontId="1"/>
  </si>
  <si>
    <t>大会参加者の「ＪＤＶＡ会員登録」種別を入力してください。
　　・通常会員　　⇒　ＪＤＶＡ会費を納め会員登録が完了している
　　・（今回登録）　⇒　会員登録をしていない（今回登録を行う）</t>
    <rPh sb="0" eb="2">
      <t>タイカイ</t>
    </rPh>
    <rPh sb="2" eb="5">
      <t>サンカシャ</t>
    </rPh>
    <rPh sb="11" eb="13">
      <t>カイイン</t>
    </rPh>
    <rPh sb="13" eb="15">
      <t>トウロク</t>
    </rPh>
    <rPh sb="16" eb="18">
      <t>シュベツ</t>
    </rPh>
    <rPh sb="19" eb="21">
      <t>ニュウリョク</t>
    </rPh>
    <rPh sb="32" eb="34">
      <t>ツウジョウ</t>
    </rPh>
    <rPh sb="34" eb="36">
      <t>カイイン</t>
    </rPh>
    <rPh sb="44" eb="46">
      <t>カイヒ</t>
    </rPh>
    <rPh sb="47" eb="48">
      <t>オサ</t>
    </rPh>
    <rPh sb="49" eb="51">
      <t>カイイン</t>
    </rPh>
    <rPh sb="51" eb="53">
      <t>トウロク</t>
    </rPh>
    <rPh sb="54" eb="56">
      <t>カンリョウ</t>
    </rPh>
    <rPh sb="73" eb="75">
      <t>カイイン</t>
    </rPh>
    <rPh sb="75" eb="77">
      <t>トウロク</t>
    </rPh>
    <rPh sb="84" eb="86">
      <t>コンカイ</t>
    </rPh>
    <rPh sb="86" eb="88">
      <t>トウロク</t>
    </rPh>
    <rPh sb="89" eb="90">
      <t>オコナ</t>
    </rPh>
    <phoneticPr fontId="9"/>
  </si>
  <si>
    <t>「エントリーシート」</t>
    <phoneticPr fontId="1"/>
  </si>
  <si>
    <t>JDVA</t>
    <phoneticPr fontId="1"/>
  </si>
  <si>
    <t>リベロ</t>
    <phoneticPr fontId="1"/>
  </si>
  <si>
    <t>主将サイン</t>
    <rPh sb="0" eb="2">
      <t>シュショウ</t>
    </rPh>
    <phoneticPr fontId="1"/>
  </si>
  <si>
    <t>監督サイン</t>
    <rPh sb="0" eb="2">
      <t>カントク</t>
    </rPh>
    <phoneticPr fontId="1"/>
  </si>
  <si>
    <r>
      <rPr>
        <b/>
        <sz val="12"/>
        <color indexed="8"/>
        <rFont val="ＭＳ Ｐゴシック"/>
        <family val="3"/>
        <charset val="128"/>
      </rPr>
      <t>C</t>
    </r>
    <r>
      <rPr>
        <sz val="12"/>
        <color indexed="8"/>
        <rFont val="ＭＳ Ｐゴシック"/>
        <family val="3"/>
        <charset val="128"/>
      </rPr>
      <t>・・・主将のマーク</t>
    </r>
    <phoneticPr fontId="1"/>
  </si>
  <si>
    <t>R02</t>
    <phoneticPr fontId="1"/>
  </si>
  <si>
    <t>選手登録が１２名を超える場合、リベロプレーヤー２名の登録が必須となります。</t>
    <phoneticPr fontId="2"/>
  </si>
  <si>
    <t>※１２名以下の場合は、リベロプレーヤー０～２名が登録可能です。</t>
    <phoneticPr fontId="2"/>
  </si>
  <si>
    <t>　メールを受信拒否しない設定をしてください。</t>
    <phoneticPr fontId="2"/>
  </si>
  <si>
    <t>円</t>
    <rPh sb="0" eb="1">
      <t>エン</t>
    </rPh>
    <phoneticPr fontId="1"/>
  </si>
  <si>
    <t>合計</t>
    <rPh sb="0" eb="2">
      <t>ゴウケイ</t>
    </rPh>
    <phoneticPr fontId="1"/>
  </si>
  <si>
    <t>↑この金額を</t>
    <rPh sb="3" eb="5">
      <t>キンガク</t>
    </rPh>
    <rPh sb="4" eb="5">
      <t>ゴウキン</t>
    </rPh>
    <phoneticPr fontId="1"/>
  </si>
  <si>
    <r>
      <t>【 会 員 登 録 費 用  】　</t>
    </r>
    <r>
      <rPr>
        <sz val="16"/>
        <color rgb="FFFF0000"/>
        <rFont val="ＭＳ Ｐゴシック"/>
        <family val="3"/>
        <charset val="128"/>
        <scheme val="minor"/>
      </rPr>
      <t>※大会中止時、返金不可</t>
    </r>
    <rPh sb="2" eb="3">
      <t>カイ</t>
    </rPh>
    <rPh sb="4" eb="5">
      <t>イン</t>
    </rPh>
    <rPh sb="6" eb="7">
      <t>ノボル</t>
    </rPh>
    <rPh sb="8" eb="9">
      <t>ロク</t>
    </rPh>
    <rPh sb="10" eb="11">
      <t>ヒ</t>
    </rPh>
    <rPh sb="12" eb="13">
      <t>ヨウ</t>
    </rPh>
    <rPh sb="18" eb="23">
      <t>タイカイチュウシジ</t>
    </rPh>
    <rPh sb="24" eb="26">
      <t>ヘンキン</t>
    </rPh>
    <rPh sb="26" eb="28">
      <t>フカ</t>
    </rPh>
    <phoneticPr fontId="1"/>
  </si>
  <si>
    <t>2022年度更新時変更前</t>
    <rPh sb="4" eb="6">
      <t>ネンド</t>
    </rPh>
    <rPh sb="6" eb="9">
      <t>コウシンジ</t>
    </rPh>
    <rPh sb="9" eb="11">
      <t>ヘンコウ</t>
    </rPh>
    <rPh sb="11" eb="12">
      <t>マエ</t>
    </rPh>
    <phoneticPr fontId="1"/>
  </si>
  <si>
    <t>↑2022年度更新時変更前</t>
    <rPh sb="5" eb="7">
      <t>ネンド</t>
    </rPh>
    <rPh sb="7" eb="10">
      <t>コウシンジ</t>
    </rPh>
    <rPh sb="10" eb="13">
      <t>ヘンコウマエ</t>
    </rPh>
    <phoneticPr fontId="1"/>
  </si>
  <si>
    <t>スタッフ</t>
  </si>
  <si>
    <t>総　　　　計（参加費用）</t>
    <rPh sb="0" eb="1">
      <t>ソウ</t>
    </rPh>
    <rPh sb="5" eb="6">
      <t>ケイ</t>
    </rPh>
    <rPh sb="7" eb="9">
      <t>サンカ</t>
    </rPh>
    <rPh sb="9" eb="11">
      <t>ヒヨウ</t>
    </rPh>
    <phoneticPr fontId="1"/>
  </si>
  <si>
    <t>④</t>
    <phoneticPr fontId="2"/>
  </si>
  <si>
    <t>申込後にキャンセルが生じた場合は、返金できません。十分ご留意のうえ</t>
    <phoneticPr fontId="2"/>
  </si>
  <si>
    <t xml:space="preserve">お申込みください。 </t>
    <phoneticPr fontId="2"/>
  </si>
  <si>
    <t>⑤</t>
    <phoneticPr fontId="2"/>
  </si>
  <si>
    <t>※「会員区分」→「区分」に変更(2022年度)</t>
    <rPh sb="2" eb="4">
      <t>カイイン</t>
    </rPh>
    <rPh sb="4" eb="6">
      <t>クブン</t>
    </rPh>
    <rPh sb="9" eb="11">
      <t>クブン</t>
    </rPh>
    <rPh sb="13" eb="15">
      <t>ヘンコウ</t>
    </rPh>
    <rPh sb="20" eb="22">
      <t>ネンド</t>
    </rPh>
    <phoneticPr fontId="9"/>
  </si>
  <si>
    <t>区分</t>
    <rPh sb="0" eb="2">
      <t>クブン</t>
    </rPh>
    <phoneticPr fontId="1"/>
  </si>
  <si>
    <t>区分</t>
    <rPh sb="0" eb="2">
      <t>クブン</t>
    </rPh>
    <phoneticPr fontId="2"/>
  </si>
  <si>
    <t>2023大会用にM列数式変更</t>
    <rPh sb="4" eb="6">
      <t>タイカイ</t>
    </rPh>
    <rPh sb="6" eb="7">
      <t>ヨウ</t>
    </rPh>
    <rPh sb="9" eb="10">
      <t>レツ</t>
    </rPh>
    <rPh sb="10" eb="12">
      <t>スウシキ</t>
    </rPh>
    <rPh sb="12" eb="14">
      <t>ヘンコウ</t>
    </rPh>
    <phoneticPr fontId="1"/>
  </si>
  <si>
    <t>区分が高校生以下の方は、親権者（保護者）に大会参加の承諾を得てください。</t>
    <phoneticPr fontId="2"/>
  </si>
  <si>
    <t>今大会ではJDVA協会会費は、頂きません。参加費のみとなります（※返金はありません）</t>
    <rPh sb="0" eb="3">
      <t>コンタイカイ</t>
    </rPh>
    <phoneticPr fontId="2"/>
  </si>
  <si>
    <t>参加者情報は、参加者氏名、区分、Ｅメールアドレスを入力します。</t>
    <rPh sb="0" eb="3">
      <t>サンカシャ</t>
    </rPh>
    <rPh sb="3" eb="5">
      <t>ジョウホウ</t>
    </rPh>
    <rPh sb="7" eb="10">
      <t>サンカシャ</t>
    </rPh>
    <rPh sb="10" eb="12">
      <t>シメイ</t>
    </rPh>
    <rPh sb="13" eb="15">
      <t>クブン</t>
    </rPh>
    <rPh sb="25" eb="27">
      <t>ニュウリョク</t>
    </rPh>
    <phoneticPr fontId="2"/>
  </si>
  <si>
    <t>＜　背　番　号　変　更　届　＞</t>
    <rPh sb="2" eb="3">
      <t>セ</t>
    </rPh>
    <rPh sb="4" eb="5">
      <t>バン</t>
    </rPh>
    <rPh sb="6" eb="7">
      <t>ゴウ</t>
    </rPh>
    <rPh sb="8" eb="9">
      <t>ヘン</t>
    </rPh>
    <rPh sb="10" eb="11">
      <t>サラ</t>
    </rPh>
    <rPh sb="12" eb="13">
      <t>トドケ</t>
    </rPh>
    <phoneticPr fontId="1"/>
  </si>
  <si>
    <t>所在地</t>
    <rPh sb="0" eb="3">
      <t>ショザイチ</t>
    </rPh>
    <phoneticPr fontId="1"/>
  </si>
  <si>
    <t>監　督</t>
    <rPh sb="0" eb="1">
      <t>ラン</t>
    </rPh>
    <rPh sb="2" eb="3">
      <t>ヨシ</t>
    </rPh>
    <phoneticPr fontId="1"/>
  </si>
  <si>
    <t>No.</t>
    <phoneticPr fontId="1"/>
  </si>
  <si>
    <r>
      <t>変更</t>
    </r>
    <r>
      <rPr>
        <b/>
        <sz val="18"/>
        <color indexed="10"/>
        <rFont val="HGPｺﾞｼｯｸE"/>
        <family val="3"/>
        <charset val="128"/>
      </rPr>
      <t>前</t>
    </r>
    <r>
      <rPr>
        <b/>
        <sz val="11"/>
        <rFont val="HGPｺﾞｼｯｸE"/>
        <family val="3"/>
        <charset val="128"/>
      </rPr>
      <t xml:space="preserve">
背番号</t>
    </r>
    <rPh sb="0" eb="2">
      <t>ヘンコウ</t>
    </rPh>
    <rPh sb="2" eb="3">
      <t>マエ</t>
    </rPh>
    <rPh sb="4" eb="7">
      <t>セバンゴウ</t>
    </rPh>
    <phoneticPr fontId="1"/>
  </si>
  <si>
    <r>
      <t>変更</t>
    </r>
    <r>
      <rPr>
        <b/>
        <sz val="18"/>
        <color indexed="12"/>
        <rFont val="HGPｺﾞｼｯｸE"/>
        <family val="3"/>
        <charset val="128"/>
      </rPr>
      <t>後</t>
    </r>
    <r>
      <rPr>
        <b/>
        <sz val="11"/>
        <rFont val="HGPｺﾞｼｯｸE"/>
        <family val="3"/>
        <charset val="128"/>
      </rPr>
      <t xml:space="preserve">
背番号</t>
    </r>
    <rPh sb="0" eb="2">
      <t>ヘンコウ</t>
    </rPh>
    <rPh sb="2" eb="3">
      <t>ゴ</t>
    </rPh>
    <rPh sb="4" eb="7">
      <t>セバンゴウ</t>
    </rPh>
    <phoneticPr fontId="1"/>
  </si>
  <si>
    <t>⇒</t>
    <phoneticPr fontId="1"/>
  </si>
  <si>
    <t>②変更する背番号のみ、変更後の背番号に記入してください。</t>
    <rPh sb="1" eb="3">
      <t>ヘンコウ</t>
    </rPh>
    <rPh sb="5" eb="8">
      <t>セバンゴウ</t>
    </rPh>
    <rPh sb="11" eb="13">
      <t>ヘンコウ</t>
    </rPh>
    <rPh sb="13" eb="14">
      <t>ゴ</t>
    </rPh>
    <rPh sb="15" eb="18">
      <t>セバンゴウ</t>
    </rPh>
    <rPh sb="19" eb="21">
      <t>キニュウ</t>
    </rPh>
    <phoneticPr fontId="1"/>
  </si>
  <si>
    <t>＊登録・申込に関する個人情報については、JDVAの事業に必要な範囲内で適正に利用致します。</t>
    <rPh sb="1" eb="3">
      <t>トウロク</t>
    </rPh>
    <rPh sb="4" eb="6">
      <t>モウシコミ</t>
    </rPh>
    <rPh sb="7" eb="8">
      <t>カン</t>
    </rPh>
    <rPh sb="10" eb="12">
      <t>コジン</t>
    </rPh>
    <rPh sb="12" eb="14">
      <t>ジョウホウ</t>
    </rPh>
    <rPh sb="25" eb="27">
      <t>ジギョウ</t>
    </rPh>
    <rPh sb="28" eb="30">
      <t>ヒツヨウ</t>
    </rPh>
    <rPh sb="31" eb="34">
      <t>ハンイナイ</t>
    </rPh>
    <rPh sb="35" eb="37">
      <t>テキセイ</t>
    </rPh>
    <rPh sb="38" eb="41">
      <t>リヨウイタ</t>
    </rPh>
    <phoneticPr fontId="1"/>
  </si>
  <si>
    <t>①エントリー済みのメンバーを確認してください。</t>
    <rPh sb="6" eb="7">
      <t>ズ</t>
    </rPh>
    <rPh sb="14" eb="16">
      <t>カクニン</t>
    </rPh>
    <phoneticPr fontId="1"/>
  </si>
  <si>
    <t>数式2変更背番号</t>
    <rPh sb="0" eb="2">
      <t>スウシキ</t>
    </rPh>
    <rPh sb="3" eb="5">
      <t>ヘンコウ</t>
    </rPh>
    <rPh sb="5" eb="8">
      <t>セバンゴウ</t>
    </rPh>
    <phoneticPr fontId="104"/>
  </si>
  <si>
    <t>2022年度更新前AO列Orig数式→=IF(G22="","",G22)</t>
    <rPh sb="4" eb="6">
      <t>ネンド</t>
    </rPh>
    <rPh sb="6" eb="9">
      <t>コウシンマエ</t>
    </rPh>
    <rPh sb="11" eb="12">
      <t>レツ</t>
    </rPh>
    <rPh sb="16" eb="18">
      <t>スウシキ</t>
    </rPh>
    <phoneticPr fontId="1"/>
  </si>
  <si>
    <t>セルAE10のOrig数式→=②選手登録名簿!AX26</t>
    <rPh sb="11" eb="13">
      <t>スウシキ</t>
    </rPh>
    <phoneticPr fontId="1"/>
  </si>
  <si>
    <t>番号決定</t>
    <phoneticPr fontId="104"/>
  </si>
  <si>
    <t>数式1よみ</t>
    <rPh sb="0" eb="2">
      <t>スウシキ</t>
    </rPh>
    <phoneticPr fontId="104"/>
  </si>
  <si>
    <t>セルF10Orig数式→=IF(E10="","",VLOOKUP(E10,$AB$10:$AF$23,5,0))</t>
    <rPh sb="9" eb="11">
      <t>スウシキ</t>
    </rPh>
    <phoneticPr fontId="1"/>
  </si>
  <si>
    <t>セルG10Orig数式→=IF(E10="","",VLOOKUP(E10,$AB$10:$AG$23,6,0))</t>
    <rPh sb="9" eb="11">
      <t>スウシキ</t>
    </rPh>
    <phoneticPr fontId="1"/>
  </si>
  <si>
    <t>セルH10Orig数式：=IF(E10="","",VLOOKUP(E10,$AB$10:$AH$23,7,0))</t>
    <rPh sb="9" eb="11">
      <t>スウシキ</t>
    </rPh>
    <phoneticPr fontId="1"/>
  </si>
  <si>
    <t>セルI10Orig数式：=IF(E10="","",VLOOKUP(E10,$AB$10:$AI$23,8,0))</t>
    <rPh sb="9" eb="11">
      <t>スウシキ</t>
    </rPh>
    <phoneticPr fontId="1"/>
  </si>
  <si>
    <t>主将</t>
    <rPh sb="0" eb="2">
      <t>シュショウ</t>
    </rPh>
    <phoneticPr fontId="104"/>
  </si>
  <si>
    <t>リベロ</t>
    <phoneticPr fontId="104"/>
  </si>
  <si>
    <t>※このシートの右側情報を背番号変更名簿シートが読取→その情報を③出場者一覧シート左側が読み取るように仕様を変更</t>
    <rPh sb="7" eb="9">
      <t>ミギガワ</t>
    </rPh>
    <rPh sb="9" eb="11">
      <t>ジョウホウ</t>
    </rPh>
    <rPh sb="23" eb="25">
      <t>ヨミトリ</t>
    </rPh>
    <rPh sb="28" eb="30">
      <t>ジョウホウ</t>
    </rPh>
    <rPh sb="40" eb="41">
      <t>ヒダリ</t>
    </rPh>
    <rPh sb="41" eb="42">
      <t>ガワ</t>
    </rPh>
    <rPh sb="43" eb="44">
      <t>ヨ</t>
    </rPh>
    <rPh sb="45" eb="46">
      <t>ト</t>
    </rPh>
    <rPh sb="50" eb="52">
      <t>シヨウ</t>
    </rPh>
    <rPh sb="53" eb="55">
      <t>ヘンコウ</t>
    </rPh>
    <phoneticPr fontId="1"/>
  </si>
  <si>
    <r>
      <t>本ファイルは、</t>
    </r>
    <r>
      <rPr>
        <u/>
        <sz val="12"/>
        <color rgb="FF0000FF"/>
        <rFont val="HG明朝E"/>
        <family val="1"/>
        <charset val="128"/>
      </rPr>
      <t>第２５回ジャパンデフバレーボールカップ　川崎大会</t>
    </r>
    <r>
      <rPr>
        <sz val="12"/>
        <color rgb="FF0000FF"/>
        <rFont val="HG明朝E"/>
        <family val="1"/>
        <charset val="128"/>
      </rPr>
      <t>の</t>
    </r>
    <rPh sb="0" eb="1">
      <t>ホン</t>
    </rPh>
    <rPh sb="7" eb="8">
      <t>ダイ</t>
    </rPh>
    <rPh sb="10" eb="11">
      <t>カイ</t>
    </rPh>
    <rPh sb="27" eb="29">
      <t>カワサキ</t>
    </rPh>
    <rPh sb="29" eb="31">
      <t>タイカイ</t>
    </rPh>
    <phoneticPr fontId="2"/>
  </si>
  <si>
    <t>令和５年１２月２６日（火）まで</t>
    <rPh sb="0" eb="2">
      <t>レイワ</t>
    </rPh>
    <rPh sb="3" eb="4">
      <t>ネン</t>
    </rPh>
    <rPh sb="6" eb="7">
      <t>ガツ</t>
    </rPh>
    <rPh sb="9" eb="10">
      <t>ニチ</t>
    </rPh>
    <rPh sb="11" eb="12">
      <t>カ</t>
    </rPh>
    <phoneticPr fontId="2"/>
  </si>
  <si>
    <r>
      <t>第２</t>
    </r>
    <r>
      <rPr>
        <sz val="20"/>
        <rFont val="メイリオ"/>
        <family val="3"/>
        <charset val="128"/>
      </rPr>
      <t>５</t>
    </r>
    <r>
      <rPr>
        <sz val="20"/>
        <color theme="1"/>
        <rFont val="メイリオ"/>
        <family val="3"/>
        <charset val="128"/>
      </rPr>
      <t>回ジャパンデフバレーボールカップ　川崎大会</t>
    </r>
    <rPh sb="20" eb="22">
      <t>カワサキ</t>
    </rPh>
    <phoneticPr fontId="1"/>
  </si>
  <si>
    <t>→2023/11/7 25回大会用に更新</t>
    <rPh sb="13" eb="14">
      <t>カイ</t>
    </rPh>
    <rPh sb="14" eb="16">
      <t>タイカイ</t>
    </rPh>
    <rPh sb="16" eb="17">
      <t>ヨウ</t>
    </rPh>
    <rPh sb="18" eb="20">
      <t>コウシン</t>
    </rPh>
    <phoneticPr fontId="1"/>
  </si>
  <si>
    <r>
      <t>第２</t>
    </r>
    <r>
      <rPr>
        <sz val="26"/>
        <rFont val="メイリオ"/>
        <family val="3"/>
        <charset val="128"/>
      </rPr>
      <t>５</t>
    </r>
    <r>
      <rPr>
        <sz val="26"/>
        <color theme="1"/>
        <rFont val="メイリオ"/>
        <family val="3"/>
        <charset val="128"/>
      </rPr>
      <t>回ジャパンデフバレーボールカップ　川崎大会</t>
    </r>
    <rPh sb="0" eb="1">
      <t>ダイ</t>
    </rPh>
    <rPh sb="3" eb="4">
      <t>カイ</t>
    </rPh>
    <rPh sb="20" eb="22">
      <t>カワサキ</t>
    </rPh>
    <rPh sb="22" eb="24">
      <t>タイカイ</t>
    </rPh>
    <phoneticPr fontId="1"/>
  </si>
  <si>
    <t>※入力メールアドレスは、ドメイン名が「@jdva.jp」「@jdva.org」や「@fsk-inc.co.jp」からの</t>
    <rPh sb="1" eb="3">
      <t>ニュウリョク</t>
    </rPh>
    <rPh sb="16" eb="17">
      <t>メイ</t>
    </rPh>
    <phoneticPr fontId="2"/>
  </si>
  <si>
    <t>※入力メールアドレスは、ドメイン名が「@jdva.jp」「@jdva.org」や「@fsk-inc.co.jp」からのメールを</t>
    <rPh sb="1" eb="3">
      <t>ニュウリョク</t>
    </rPh>
    <rPh sb="16" eb="17">
      <t>メイ</t>
    </rPh>
    <phoneticPr fontId="2"/>
  </si>
  <si>
    <t>＜　インフルエンザ・新型コロナウイルス等感染症対策に関すること　＞</t>
    <rPh sb="10" eb="12">
      <t>シンガタ</t>
    </rPh>
    <rPh sb="19" eb="20">
      <t>ナド</t>
    </rPh>
    <rPh sb="20" eb="23">
      <t>カンセンショウ</t>
    </rPh>
    <rPh sb="23" eb="25">
      <t>タイサク</t>
    </rPh>
    <rPh sb="26" eb="27">
      <t>カン</t>
    </rPh>
    <phoneticPr fontId="2"/>
  </si>
  <si>
    <t>2023年5月8日付の新型コロナウイルス5種への移行に伴い、感染症対策を下記のとおりとします。</t>
    <phoneticPr fontId="2"/>
  </si>
  <si>
    <r>
      <t>①</t>
    </r>
    <r>
      <rPr>
        <sz val="12"/>
        <color rgb="FFCCFFFF"/>
        <rFont val="HG明朝E"/>
        <family val="1"/>
        <charset val="128"/>
      </rPr>
      <t>体調管理チェックシート・ワクチン接種証明・ＰＣＲ検査結果・抗原検査結果などは、求めません。</t>
    </r>
    <phoneticPr fontId="2"/>
  </si>
  <si>
    <t>体調管理チェックシート・ワクチン接種証明・ＰＣＲ検査結果・抗原検査結果などは、求めません。</t>
    <phoneticPr fontId="2"/>
  </si>
  <si>
    <t>②</t>
    <phoneticPr fontId="2"/>
  </si>
  <si>
    <t xml:space="preserve">検温は、当日朝に自身で確認ください。マスク着用は、各自の判断とします。 </t>
    <phoneticPr fontId="2"/>
  </si>
  <si>
    <t>当日体調がすぐれない場合、発熱がある場合（37.5℃以上）は参加を控えてください。</t>
    <phoneticPr fontId="2"/>
  </si>
  <si>
    <t>観客席を設けます。観客は、体調管理チェックシートは不要です。</t>
    <phoneticPr fontId="2"/>
  </si>
  <si>
    <t>選手控所は指定の場所をお守りください。</t>
    <phoneticPr fontId="2"/>
  </si>
  <si>
    <t>⑥</t>
    <phoneticPr fontId="2"/>
  </si>
  <si>
    <t>館内換気のため、競技中もドア・窓は開放したままとする場合があります。</t>
    <phoneticPr fontId="2"/>
  </si>
  <si>
    <t>空調ありの場合は、ドア・窓は開放しません。</t>
    <phoneticPr fontId="2"/>
  </si>
  <si>
    <t>⑦</t>
    <phoneticPr fontId="2"/>
  </si>
  <si>
    <t>アルコール消毒液は設置しない。また、ボール・試合座席の消毒は主催者側では行わない。</t>
    <phoneticPr fontId="2"/>
  </si>
  <si>
    <t>⑧</t>
    <phoneticPr fontId="2"/>
  </si>
  <si>
    <t>男女各参加チーム数が2以下の場合、地震・台風など天変地異による施設利用不可の場合、</t>
    <phoneticPr fontId="2"/>
  </si>
  <si>
    <t>インフルエンザおよび新型コロナウイルスの流行状況により、大会を中止する場合もありますので</t>
    <phoneticPr fontId="2"/>
  </si>
  <si>
    <t>ご理解をお願いします。</t>
    <phoneticPr fontId="2"/>
  </si>
  <si>
    <r>
      <rPr>
        <b/>
        <sz val="11"/>
        <rFont val="ＭＳ Ｐゴシック"/>
        <family val="3"/>
        <charset val="128"/>
      </rPr>
      <t>☐■</t>
    </r>
    <r>
      <rPr>
        <b/>
        <sz val="11"/>
        <rFont val="HGPｺﾞｼｯｸE"/>
        <family val="3"/>
        <charset val="128"/>
      </rPr>
      <t xml:space="preserve"> </t>
    </r>
    <r>
      <rPr>
        <b/>
        <sz val="11"/>
        <color indexed="10"/>
        <rFont val="HGPｺﾞｼｯｸE"/>
        <family val="3"/>
        <charset val="128"/>
      </rPr>
      <t xml:space="preserve">Email:申込締切　令和6年2月2日(金曜日)まで、受信有効 </t>
    </r>
    <r>
      <rPr>
        <b/>
        <sz val="11"/>
        <rFont val="ＭＳ Ｐゴシック"/>
        <family val="3"/>
        <charset val="128"/>
      </rPr>
      <t>■□</t>
    </r>
    <rPh sb="14" eb="16">
      <t>レイワ</t>
    </rPh>
    <rPh sb="23" eb="26">
      <t>キンヨウビ</t>
    </rPh>
    <rPh sb="30" eb="32">
      <t>ジュシン</t>
    </rPh>
    <rPh sb="32" eb="34">
      <t>ユウコウ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</si>
</sst>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 &quot;円&quot;"/>
    <numFmt numFmtId="178" formatCode="#,##0_);[Red]\(#,##0\)"/>
    <numFmt numFmtId="179" formatCode="###,###\ &quot;円　　&quot;"/>
    <numFmt numFmtId="180" formatCode="#,##0_ "/>
    <numFmt numFmtId="181" formatCode="yyyy&quot;年&quot;m&quot;月&quot;d&quot;日&quot;\ \(aaa\)"/>
    <numFmt numFmtId="182" formatCode="yyyy/m/d;@"/>
    <numFmt numFmtId="183" formatCode="yyyy&quot;年&quot;m&quot;月&quot;d&quot;日&quot;;@"/>
    <numFmt numFmtId="184" formatCode="0\ &quot;歳&quot;"/>
    <numFmt numFmtId="185" formatCode="0&quot;歳&quot;"/>
    <numFmt numFmtId="186" formatCode="#,##0&quot;円&quot;"/>
    <numFmt numFmtId="187" formatCode="&quot;（新規会員： &quot;0_ &quot;人）&quot;"/>
    <numFmt numFmtId="188" formatCode="0_ &quot;人&quot;"/>
  </numFmts>
  <fonts count="1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HG明朝E"/>
      <family val="1"/>
      <charset val="128"/>
    </font>
    <font>
      <u/>
      <sz val="12"/>
      <name val="HG明朝E"/>
      <family val="1"/>
      <charset val="128"/>
    </font>
    <font>
      <sz val="12"/>
      <color indexed="10"/>
      <name val="HG明朝E"/>
      <family val="1"/>
      <charset val="128"/>
    </font>
    <font>
      <sz val="12"/>
      <name val="ＭＳ Ｐゴシック"/>
      <family val="3"/>
      <charset val="128"/>
    </font>
    <font>
      <sz val="12"/>
      <color indexed="10"/>
      <name val="ＭＳ Ｐゴシック"/>
      <family val="3"/>
      <charset val="128"/>
    </font>
    <font>
      <sz val="6"/>
      <name val="ＭＳ Ｐゴシック"/>
      <family val="3"/>
      <charset val="128"/>
    </font>
    <font>
      <sz val="6"/>
      <name val="ＭＳ Ｐゴシック"/>
      <family val="3"/>
      <charset val="128"/>
    </font>
    <font>
      <sz val="12"/>
      <name val="ＭＳ ゴシック"/>
      <family val="3"/>
      <charset val="128"/>
    </font>
    <font>
      <sz val="10"/>
      <name val="ＭＳ Ｐゴシック"/>
      <family val="3"/>
      <charset val="128"/>
    </font>
    <font>
      <sz val="18"/>
      <name val="ＭＳ ゴシック"/>
      <family val="3"/>
      <charset val="128"/>
    </font>
    <font>
      <sz val="12"/>
      <color indexed="12"/>
      <name val="HG明朝E"/>
      <family val="1"/>
      <charset val="128"/>
    </font>
    <font>
      <sz val="14"/>
      <name val="ＭＳ ゴシック"/>
      <family val="3"/>
      <charset val="128"/>
    </font>
    <font>
      <sz val="11"/>
      <name val="ＭＳ ゴシック"/>
      <family val="3"/>
      <charset val="128"/>
    </font>
    <font>
      <sz val="11"/>
      <color indexed="12"/>
      <name val="ＭＳ Ｐゴシック"/>
      <family val="3"/>
      <charset val="128"/>
    </font>
    <font>
      <sz val="14"/>
      <name val="HG丸ｺﾞｼｯｸM-PRO"/>
      <family val="3"/>
      <charset val="128"/>
    </font>
    <font>
      <sz val="12"/>
      <color indexed="10"/>
      <name val="ＭＳ ゴシック"/>
      <family val="3"/>
      <charset val="128"/>
    </font>
    <font>
      <b/>
      <sz val="12"/>
      <color indexed="10"/>
      <name val="ＭＳ ゴシック"/>
      <family val="3"/>
      <charset val="128"/>
    </font>
    <font>
      <b/>
      <u/>
      <sz val="12"/>
      <color indexed="10"/>
      <name val="ＭＳ ゴシック"/>
      <family val="3"/>
      <charset val="128"/>
    </font>
    <font>
      <sz val="20"/>
      <name val="HG明朝E"/>
      <family val="1"/>
      <charset val="128"/>
    </font>
    <font>
      <sz val="6"/>
      <name val="ＭＳ Ｐゴシック"/>
      <family val="3"/>
      <charset val="128"/>
    </font>
    <font>
      <b/>
      <sz val="12"/>
      <color indexed="8"/>
      <name val="ＭＳ Ｐゴシック"/>
      <family val="3"/>
      <charset val="128"/>
    </font>
    <font>
      <sz val="12"/>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name val="ＭＳ Ｐゴシック"/>
      <family val="3"/>
      <charset val="128"/>
      <scheme val="minor"/>
    </font>
    <font>
      <u/>
      <sz val="11"/>
      <color rgb="FFFF0000"/>
      <name val="ＭＳ Ｐゴシック"/>
      <family val="3"/>
      <charset val="128"/>
      <scheme val="minor"/>
    </font>
    <font>
      <sz val="12"/>
      <color rgb="FFFF0000"/>
      <name val="HG明朝E"/>
      <family val="1"/>
      <charset val="128"/>
    </font>
    <font>
      <sz val="11"/>
      <color rgb="FFC0C0C0"/>
      <name val="ＭＳ Ｐゴシック"/>
      <family val="3"/>
      <charset val="128"/>
    </font>
    <font>
      <sz val="14"/>
      <color theme="1"/>
      <name val="ＭＳ Ｐゴシック"/>
      <family val="3"/>
      <charset val="128"/>
      <scheme val="minor"/>
    </font>
    <font>
      <sz val="11"/>
      <color rgb="FF0000FF"/>
      <name val="ＭＳ Ｐゴシック"/>
      <family val="3"/>
      <charset val="128"/>
      <scheme val="minor"/>
    </font>
    <font>
      <sz val="18"/>
      <color theme="1"/>
      <name val="ＭＳ ゴシック"/>
      <family val="3"/>
      <charset val="128"/>
    </font>
    <font>
      <sz val="18"/>
      <color rgb="FF333333"/>
      <name val="Verdana"/>
      <family val="2"/>
    </font>
    <font>
      <sz val="18"/>
      <color rgb="FF333333"/>
      <name val="ＭＳ Ｐゴシック"/>
      <family val="3"/>
      <charset val="128"/>
    </font>
    <font>
      <sz val="12"/>
      <color theme="1"/>
      <name val="ＭＳ ゴシック"/>
      <family val="3"/>
      <charset val="128"/>
    </font>
    <font>
      <sz val="9"/>
      <color rgb="FFFF0000"/>
      <name val="ＭＳ ゴシック"/>
      <family val="3"/>
      <charset val="128"/>
    </font>
    <font>
      <sz val="10"/>
      <color rgb="FFFF0000"/>
      <name val="ＭＳ ゴシック"/>
      <family val="3"/>
      <charset val="128"/>
    </font>
    <font>
      <sz val="14"/>
      <color rgb="FF0000FF"/>
      <name val="ＭＳ ゴシック"/>
      <family val="3"/>
      <charset val="128"/>
    </font>
    <font>
      <sz val="10"/>
      <color theme="1"/>
      <name val="ＭＳ Ｐゴシック"/>
      <family val="3"/>
      <charset val="128"/>
      <scheme val="minor"/>
    </font>
    <font>
      <sz val="11"/>
      <color theme="0"/>
      <name val="ＭＳ Ｐゴシック"/>
      <family val="3"/>
      <charset val="128"/>
    </font>
    <font>
      <sz val="12"/>
      <color rgb="FF0000FF"/>
      <name val="HG明朝E"/>
      <family val="1"/>
      <charset val="128"/>
    </font>
    <font>
      <sz val="12"/>
      <color theme="1"/>
      <name val="ＭＳ Ｐ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font>
    <font>
      <sz val="26"/>
      <color theme="1"/>
      <name val="ＭＳ Ｐゴシック"/>
      <family val="3"/>
      <charset val="128"/>
      <scheme val="minor"/>
    </font>
    <font>
      <sz val="18"/>
      <color theme="1"/>
      <name val="ＭＳ Ｐゴシック"/>
      <family val="3"/>
      <charset val="128"/>
      <scheme val="minor"/>
    </font>
    <font>
      <u/>
      <sz val="12"/>
      <color theme="1"/>
      <name val="ＭＳ ゴシック"/>
      <family val="3"/>
      <charset val="128"/>
    </font>
    <font>
      <sz val="14"/>
      <color theme="1"/>
      <name val="ＭＳ ゴシック"/>
      <family val="3"/>
      <charset val="128"/>
    </font>
    <font>
      <sz val="12"/>
      <color rgb="FFDDDDDD"/>
      <name val="ＭＳ ゴシック"/>
      <family val="3"/>
      <charset val="128"/>
    </font>
    <font>
      <sz val="16"/>
      <color theme="1"/>
      <name val="ＭＳ ゴシック"/>
      <family val="3"/>
      <charset val="128"/>
    </font>
    <font>
      <sz val="14"/>
      <color theme="1"/>
      <name val="HG丸ｺﾞｼｯｸM-PRO"/>
      <family val="3"/>
      <charset val="128"/>
    </font>
    <font>
      <sz val="12"/>
      <color theme="9" tint="-0.249977111117893"/>
      <name val="ＭＳ ゴシック"/>
      <family val="3"/>
      <charset val="128"/>
    </font>
    <font>
      <u/>
      <sz val="22"/>
      <color theme="10"/>
      <name val="ＭＳ Ｐゴシック"/>
      <family val="3"/>
      <charset val="128"/>
      <scheme val="minor"/>
    </font>
    <font>
      <sz val="28"/>
      <color rgb="FFFF0000"/>
      <name val="HG明朝E"/>
      <family val="1"/>
      <charset val="128"/>
    </font>
    <font>
      <sz val="12"/>
      <color theme="1"/>
      <name val="メイリオ"/>
      <family val="3"/>
      <charset val="128"/>
    </font>
    <font>
      <sz val="10"/>
      <color rgb="FF0000FF"/>
      <name val="メイリオ"/>
      <family val="3"/>
      <charset val="128"/>
    </font>
    <font>
      <sz val="12"/>
      <color theme="1"/>
      <name val="ＭＳ Ｐゴシック"/>
      <family val="3"/>
      <charset val="128"/>
      <scheme val="minor"/>
    </font>
    <font>
      <sz val="16"/>
      <color theme="1"/>
      <name val="ＭＳ Ｐゴシック"/>
      <family val="3"/>
      <charset val="128"/>
      <scheme val="minor"/>
    </font>
    <font>
      <u/>
      <sz val="14"/>
      <color rgb="FFFF0000"/>
      <name val="メイリオ"/>
      <family val="3"/>
      <charset val="128"/>
    </font>
    <font>
      <b/>
      <sz val="12"/>
      <color rgb="FFFF0000"/>
      <name val="ＭＳ Ｐゴシック"/>
      <family val="3"/>
      <charset val="128"/>
      <scheme val="minor"/>
    </font>
    <font>
      <b/>
      <sz val="12"/>
      <color theme="1"/>
      <name val="ＭＳ Ｐゴシック"/>
      <family val="3"/>
      <charset val="128"/>
      <scheme val="minor"/>
    </font>
    <font>
      <sz val="12"/>
      <color rgb="FF0000FF"/>
      <name val="ＭＳ ゴシック"/>
      <family val="3"/>
      <charset val="128"/>
    </font>
    <font>
      <b/>
      <sz val="12"/>
      <color rgb="FFFF0000"/>
      <name val="ＭＳ ゴシック"/>
      <family val="3"/>
      <charset val="128"/>
    </font>
    <font>
      <sz val="12"/>
      <color rgb="FFFF0000"/>
      <name val="ＭＳ Ｐゴシック"/>
      <family val="3"/>
      <charset val="128"/>
      <scheme val="minor"/>
    </font>
    <font>
      <sz val="12"/>
      <color rgb="FFFF0000"/>
      <name val="ＭＳ Ｐゴシック"/>
      <family val="3"/>
      <charset val="128"/>
    </font>
    <font>
      <u/>
      <sz val="28"/>
      <color theme="10"/>
      <name val="ＭＳ Ｐゴシック"/>
      <family val="3"/>
      <charset val="128"/>
      <scheme val="minor"/>
    </font>
    <font>
      <sz val="12"/>
      <color rgb="FF0000FF"/>
      <name val="ＭＳ Ｐゴシック"/>
      <family val="3"/>
      <charset val="128"/>
    </font>
    <font>
      <sz val="16"/>
      <color rgb="FFFF0000"/>
      <name val="HG明朝E"/>
      <family val="1"/>
      <charset val="128"/>
    </font>
    <font>
      <sz val="10"/>
      <color rgb="FF808080"/>
      <name val="ＭＳ ゴシック"/>
      <family val="3"/>
      <charset val="128"/>
    </font>
    <font>
      <sz val="12"/>
      <color rgb="FF969696"/>
      <name val="ＭＳ ゴシック"/>
      <family val="3"/>
      <charset val="128"/>
    </font>
    <font>
      <sz val="9"/>
      <color rgb="FF0000FF"/>
      <name val="ＭＳ ゴシック"/>
      <family val="3"/>
      <charset val="128"/>
    </font>
    <font>
      <sz val="9"/>
      <color theme="1"/>
      <name val="ＭＳ ゴシック"/>
      <family val="3"/>
      <charset val="128"/>
    </font>
    <font>
      <sz val="20"/>
      <color theme="1"/>
      <name val="メイリオ"/>
      <family val="3"/>
      <charset val="128"/>
    </font>
    <font>
      <sz val="14"/>
      <color theme="1"/>
      <name val="メイリオ"/>
      <family val="3"/>
      <charset val="128"/>
    </font>
    <font>
      <sz val="12"/>
      <color rgb="FFFF0000"/>
      <name val="ＭＳ ゴシック"/>
      <family val="3"/>
      <charset val="128"/>
    </font>
    <font>
      <sz val="26"/>
      <color theme="1"/>
      <name val="メイリオ"/>
      <family val="3"/>
      <charset val="128"/>
    </font>
    <font>
      <sz val="12"/>
      <name val="ＭＳ Ｐゴシック"/>
      <family val="3"/>
      <charset val="128"/>
      <scheme val="minor"/>
    </font>
    <font>
      <sz val="18"/>
      <color theme="1"/>
      <name val="メイリオ"/>
      <family val="3"/>
      <charset val="128"/>
    </font>
    <font>
      <sz val="20"/>
      <color theme="1"/>
      <name val="ＭＳ Ｐゴシック"/>
      <family val="3"/>
      <charset val="128"/>
      <scheme val="minor"/>
    </font>
    <font>
      <sz val="12"/>
      <color rgb="FF0000FF"/>
      <name val="ＭＳ Ｐゴシック"/>
      <family val="3"/>
      <charset val="128"/>
      <scheme val="minor"/>
    </font>
    <font>
      <sz val="14"/>
      <color rgb="FF0000FF"/>
      <name val="ＭＳ Ｐゴシック"/>
      <family val="3"/>
      <charset val="128"/>
      <scheme val="minor"/>
    </font>
    <font>
      <sz val="24"/>
      <color theme="1"/>
      <name val="ＭＳ Ｐゴシック"/>
      <family val="3"/>
      <charset val="128"/>
      <scheme val="minor"/>
    </font>
    <font>
      <sz val="24"/>
      <color theme="1"/>
      <name val="メイリオ"/>
      <family val="3"/>
      <charset val="128"/>
    </font>
    <font>
      <u/>
      <sz val="12"/>
      <color rgb="FF0000FF"/>
      <name val="ＭＳ ゴシック"/>
      <family val="3"/>
      <charset val="128"/>
    </font>
    <font>
      <sz val="22"/>
      <color theme="1"/>
      <name val="メイリオ"/>
      <family val="3"/>
      <charset val="128"/>
    </font>
    <font>
      <u/>
      <sz val="12"/>
      <color rgb="FFFF0000"/>
      <name val="HG明朝E"/>
      <family val="1"/>
      <charset val="128"/>
    </font>
    <font>
      <sz val="16"/>
      <color rgb="FFFF0000"/>
      <name val="ＭＳ Ｐゴシック"/>
      <family val="3"/>
      <charset val="128"/>
      <scheme val="minor"/>
    </font>
    <font>
      <b/>
      <sz val="12"/>
      <color rgb="FFFF0000"/>
      <name val="ＭＳ Ｐゴシック"/>
      <family val="3"/>
      <charset val="128"/>
    </font>
    <font>
      <u/>
      <sz val="12"/>
      <color rgb="FF0000FF"/>
      <name val="HG明朝E"/>
      <family val="1"/>
      <charset val="128"/>
    </font>
    <font>
      <sz val="12"/>
      <color rgb="FFCCFFFF"/>
      <name val="HG明朝E"/>
      <family val="1"/>
      <charset val="128"/>
    </font>
    <font>
      <sz val="20"/>
      <name val="メイリオ"/>
      <family val="3"/>
      <charset val="128"/>
    </font>
    <font>
      <sz val="26"/>
      <name val="メイリオ"/>
      <family val="3"/>
      <charset val="128"/>
    </font>
    <font>
      <sz val="12"/>
      <color theme="0" tint="-4.9989318521683403E-2"/>
      <name val="ＭＳ Ｐゴシック"/>
      <family val="3"/>
      <charset val="128"/>
    </font>
    <font>
      <sz val="11"/>
      <color theme="0" tint="-4.9989318521683403E-2"/>
      <name val="ＭＳ Ｐゴシック"/>
      <family val="3"/>
      <charset val="128"/>
    </font>
    <font>
      <sz val="12"/>
      <color theme="0" tint="-4.9989318521683403E-2"/>
      <name val="ＭＳ ゴシック"/>
      <family val="3"/>
      <charset val="128"/>
    </font>
    <font>
      <sz val="11"/>
      <name val="ＭＳ Ｐゴシック"/>
      <family val="3"/>
      <charset val="128"/>
    </font>
    <font>
      <b/>
      <sz val="22"/>
      <name val="HGPｺﾞｼｯｸE"/>
      <family val="3"/>
      <charset val="128"/>
    </font>
    <font>
      <sz val="6"/>
      <name val="ＭＳ Ｐゴシック"/>
      <family val="3"/>
      <charset val="128"/>
      <scheme val="minor"/>
    </font>
    <font>
      <sz val="11"/>
      <name val="HGPｺﾞｼｯｸE"/>
      <family val="3"/>
      <charset val="128"/>
    </font>
    <font>
      <b/>
      <sz val="20"/>
      <name val="HGPｺﾞｼｯｸE"/>
      <family val="3"/>
      <charset val="128"/>
    </font>
    <font>
      <sz val="20"/>
      <name val="HGPｺﾞｼｯｸE"/>
      <family val="3"/>
      <charset val="128"/>
    </font>
    <font>
      <b/>
      <sz val="11"/>
      <name val="HGPｺﾞｼｯｸE"/>
      <family val="3"/>
      <charset val="128"/>
    </font>
    <font>
      <b/>
      <sz val="11"/>
      <color indexed="10"/>
      <name val="HGPｺﾞｼｯｸE"/>
      <family val="3"/>
      <charset val="128"/>
    </font>
    <font>
      <b/>
      <sz val="18"/>
      <color indexed="10"/>
      <name val="HGPｺﾞｼｯｸE"/>
      <family val="3"/>
      <charset val="128"/>
    </font>
    <font>
      <b/>
      <sz val="11"/>
      <color indexed="12"/>
      <name val="HGPｺﾞｼｯｸE"/>
      <family val="3"/>
      <charset val="128"/>
    </font>
    <font>
      <b/>
      <sz val="18"/>
      <color indexed="12"/>
      <name val="HGPｺﾞｼｯｸE"/>
      <family val="3"/>
      <charset val="128"/>
    </font>
    <font>
      <sz val="12"/>
      <name val="HGPｺﾞｼｯｸE"/>
      <family val="3"/>
      <charset val="128"/>
    </font>
    <font>
      <b/>
      <sz val="11"/>
      <name val="ＭＳ Ｐゴシック"/>
      <family val="3"/>
      <charset val="128"/>
    </font>
  </fonts>
  <fills count="34">
    <fill>
      <patternFill patternType="none"/>
    </fill>
    <fill>
      <patternFill patternType="gray125"/>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
      <patternFill patternType="solid">
        <fgColor rgb="FFDDDDDD"/>
        <bgColor indexed="64"/>
      </patternFill>
    </fill>
    <fill>
      <patternFill patternType="solid">
        <fgColor theme="8" tint="0.599963377788628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B2B2B2"/>
        <bgColor indexed="64"/>
      </patternFill>
    </fill>
    <fill>
      <patternFill patternType="solid">
        <fgColor rgb="FFFFFFCC"/>
        <bgColor indexed="64"/>
      </patternFill>
    </fill>
    <fill>
      <patternFill patternType="solid">
        <fgColor rgb="FFCCFFFF"/>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rgb="FFECF8F7"/>
        <bgColor indexed="64"/>
      </patternFill>
    </fill>
    <fill>
      <patternFill patternType="solid">
        <fgColor rgb="FFFF9999"/>
        <bgColor indexed="64"/>
      </patternFill>
    </fill>
    <fill>
      <patternFill patternType="solid">
        <fgColor theme="0" tint="-4.9989318521683403E-2"/>
        <bgColor indexed="64"/>
      </patternFill>
    </fill>
    <fill>
      <patternFill patternType="solid">
        <fgColor rgb="FFFF99FF"/>
        <bgColor indexed="64"/>
      </patternFill>
    </fill>
    <fill>
      <patternFill patternType="solid">
        <fgColor rgb="FFCCFF99"/>
        <bgColor indexed="64"/>
      </patternFill>
    </fill>
    <fill>
      <patternFill patternType="solid">
        <fgColor theme="4" tint="0.59999389629810485"/>
        <bgColor indexed="64"/>
      </patternFill>
    </fill>
    <fill>
      <patternFill patternType="solid">
        <fgColor rgb="FFEAEAEA"/>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0000"/>
        <bgColor indexed="64"/>
      </patternFill>
    </fill>
    <fill>
      <patternFill patternType="solid">
        <fgColor indexed="9"/>
        <bgColor indexed="64"/>
      </patternFill>
    </fill>
    <fill>
      <patternFill patternType="solid">
        <fgColor indexed="43"/>
        <bgColor indexed="64"/>
      </patternFill>
    </fill>
    <fill>
      <patternFill patternType="solid">
        <fgColor rgb="FFFFC000"/>
        <bgColor indexed="64"/>
      </patternFill>
    </fill>
  </fills>
  <borders count="2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ashed">
        <color indexed="64"/>
      </left>
      <right style="dashed">
        <color indexed="64"/>
      </right>
      <top style="dashed">
        <color indexed="64"/>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top/>
      <bottom/>
      <diagonal/>
    </border>
    <border>
      <left style="mediumDashDot">
        <color indexed="64"/>
      </left>
      <right style="mediumDashDot">
        <color indexed="64"/>
      </right>
      <top style="mediumDashDot">
        <color indexed="64"/>
      </top>
      <bottom style="mediumDashDot">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dash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dashed">
        <color indexed="64"/>
      </left>
      <right style="thin">
        <color indexed="64"/>
      </right>
      <top/>
      <bottom/>
      <diagonal/>
    </border>
    <border>
      <left/>
      <right style="medium">
        <color indexed="64"/>
      </right>
      <top/>
      <bottom/>
      <diagonal/>
    </border>
    <border>
      <left style="dashed">
        <color indexed="64"/>
      </left>
      <right/>
      <top/>
      <bottom/>
      <diagonal/>
    </border>
    <border>
      <left style="thin">
        <color indexed="64"/>
      </left>
      <right style="dashed">
        <color indexed="64"/>
      </right>
      <top/>
      <bottom/>
      <diagonal/>
    </border>
    <border>
      <left/>
      <right style="dashed">
        <color indexed="64"/>
      </right>
      <top/>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top style="dashed">
        <color indexed="64"/>
      </top>
      <bottom style="thin">
        <color indexed="64"/>
      </bottom>
      <diagonal/>
    </border>
    <border>
      <left/>
      <right style="medium">
        <color indexed="64"/>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right style="thin">
        <color indexed="64"/>
      </right>
      <top style="medium">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medium">
        <color indexed="64"/>
      </top>
      <bottom/>
      <diagonal/>
    </border>
    <border>
      <left/>
      <right style="hair">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double">
        <color indexed="64"/>
      </top>
      <bottom/>
      <diagonal/>
    </border>
    <border>
      <left/>
      <right style="thin">
        <color indexed="64"/>
      </right>
      <top style="double">
        <color indexed="64"/>
      </top>
      <bottom/>
      <diagonal/>
    </border>
    <border>
      <left style="hair">
        <color indexed="64"/>
      </left>
      <right/>
      <top/>
      <bottom style="medium">
        <color indexed="64"/>
      </bottom>
      <diagonal/>
    </border>
    <border>
      <left/>
      <right style="thin">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hair">
        <color indexed="64"/>
      </top>
      <bottom style="double">
        <color indexed="64"/>
      </bottom>
      <diagonal/>
    </border>
    <border>
      <left/>
      <right style="thin">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double">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style="slantDashDot">
        <color rgb="FF0000FF"/>
      </left>
      <right/>
      <top style="slantDashDot">
        <color rgb="FF0000FF"/>
      </top>
      <bottom/>
      <diagonal/>
    </border>
    <border>
      <left/>
      <right/>
      <top style="slantDashDot">
        <color rgb="FF0000FF"/>
      </top>
      <bottom/>
      <diagonal/>
    </border>
    <border>
      <left/>
      <right style="slantDashDot">
        <color rgb="FF0000FF"/>
      </right>
      <top style="slantDashDot">
        <color rgb="FF0000FF"/>
      </top>
      <bottom/>
      <diagonal/>
    </border>
    <border>
      <left style="slantDashDot">
        <color rgb="FF0000FF"/>
      </left>
      <right/>
      <top/>
      <bottom/>
      <diagonal/>
    </border>
    <border>
      <left/>
      <right style="slantDashDot">
        <color rgb="FF0000FF"/>
      </right>
      <top/>
      <bottom/>
      <diagonal/>
    </border>
    <border>
      <left style="slantDashDot">
        <color rgb="FF0000FF"/>
      </left>
      <right/>
      <top/>
      <bottom style="slantDashDot">
        <color rgb="FF0000FF"/>
      </bottom>
      <diagonal/>
    </border>
    <border>
      <left/>
      <right/>
      <top/>
      <bottom style="slantDashDot">
        <color rgb="FF0000FF"/>
      </bottom>
      <diagonal/>
    </border>
    <border>
      <left/>
      <right style="slantDashDot">
        <color rgb="FF0000FF"/>
      </right>
      <top/>
      <bottom style="slantDashDot">
        <color rgb="FF0000FF"/>
      </bottom>
      <diagonal/>
    </border>
    <border>
      <left style="medium">
        <color rgb="FFFF0000"/>
      </left>
      <right style="hair">
        <color rgb="FFFF0000"/>
      </right>
      <top/>
      <bottom style="medium">
        <color rgb="FFFF0000"/>
      </bottom>
      <diagonal/>
    </border>
    <border>
      <left style="hair">
        <color rgb="FFFF0000"/>
      </left>
      <right style="hair">
        <color rgb="FFFF0000"/>
      </right>
      <top/>
      <bottom style="medium">
        <color rgb="FFFF0000"/>
      </bottom>
      <diagonal/>
    </border>
    <border>
      <left style="hair">
        <color rgb="FFFF0000"/>
      </left>
      <right style="medium">
        <color rgb="FFFF0000"/>
      </right>
      <top/>
      <bottom style="medium">
        <color rgb="FFFF0000"/>
      </bottom>
      <diagonal/>
    </border>
    <border>
      <left/>
      <right style="dotted">
        <color indexed="64"/>
      </right>
      <top style="medium">
        <color indexed="64"/>
      </top>
      <bottom/>
      <diagonal/>
    </border>
    <border>
      <left/>
      <right style="dotted">
        <color indexed="64"/>
      </right>
      <top/>
      <bottom/>
      <diagonal/>
    </border>
    <border>
      <left/>
      <right style="dotted">
        <color indexed="64"/>
      </right>
      <top style="dashed">
        <color indexed="64"/>
      </top>
      <bottom/>
      <diagonal/>
    </border>
    <border>
      <left/>
      <right style="dotted">
        <color indexed="64"/>
      </right>
      <top/>
      <bottom style="medium">
        <color indexed="64"/>
      </bottom>
      <diagonal/>
    </border>
    <border diagonalDown="1">
      <left style="thin">
        <color indexed="64"/>
      </left>
      <right style="thin">
        <color indexed="64"/>
      </right>
      <top/>
      <bottom style="thin">
        <color indexed="64"/>
      </bottom>
      <diagonal style="thin">
        <color indexed="64"/>
      </diagonal>
    </border>
  </borders>
  <cellStyleXfs count="4">
    <xf numFmtId="0" fontId="0" fillId="0" borderId="0"/>
    <xf numFmtId="0" fontId="26" fillId="0" borderId="0" applyNumberFormat="0" applyFill="0" applyBorder="0" applyAlignment="0" applyProtection="0"/>
    <xf numFmtId="0" fontId="25" fillId="0" borderId="0">
      <alignment vertical="center"/>
    </xf>
    <xf numFmtId="0" fontId="102" fillId="0" borderId="0">
      <alignment vertical="center"/>
    </xf>
  </cellStyleXfs>
  <cellXfs count="1092">
    <xf numFmtId="0" fontId="0" fillId="0" borderId="0" xfId="0"/>
    <xf numFmtId="0" fontId="0" fillId="2" borderId="0" xfId="0" applyFill="1"/>
    <xf numFmtId="0" fontId="27" fillId="0" borderId="0" xfId="0" applyFont="1"/>
    <xf numFmtId="0" fontId="0" fillId="3" borderId="0" xfId="0" applyFill="1"/>
    <xf numFmtId="0" fontId="0" fillId="4" borderId="0" xfId="0" applyFill="1"/>
    <xf numFmtId="0" fontId="0" fillId="0" borderId="1" xfId="0" applyBorder="1"/>
    <xf numFmtId="0" fontId="0" fillId="0" borderId="2" xfId="0" applyBorder="1" applyProtection="1">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xf numFmtId="0" fontId="0" fillId="5" borderId="5" xfId="0" applyFill="1" applyBorder="1" applyAlignment="1">
      <alignment horizontal="center" vertical="center"/>
    </xf>
    <xf numFmtId="0" fontId="0" fillId="5" borderId="6" xfId="0" applyFill="1" applyBorder="1"/>
    <xf numFmtId="0" fontId="0" fillId="5" borderId="6" xfId="0" applyFill="1" applyBorder="1" applyAlignment="1">
      <alignment horizontal="center" vertical="center"/>
    </xf>
    <xf numFmtId="176" fontId="0" fillId="5" borderId="6" xfId="0" applyNumberFormat="1" applyFill="1" applyBorder="1" applyAlignment="1">
      <alignment horizontal="center" vertical="center"/>
    </xf>
    <xf numFmtId="0" fontId="0" fillId="0" borderId="0" xfId="0" applyAlignment="1">
      <alignment shrinkToFit="1"/>
    </xf>
    <xf numFmtId="0" fontId="0" fillId="0" borderId="0" xfId="0" applyAlignment="1">
      <alignment horizontal="center" vertical="center"/>
    </xf>
    <xf numFmtId="0" fontId="29" fillId="0" borderId="0" xfId="0" applyFont="1"/>
    <xf numFmtId="0" fontId="30" fillId="0" borderId="7" xfId="0" applyFont="1" applyBorder="1"/>
    <xf numFmtId="0" fontId="0" fillId="5" borderId="0" xfId="0" applyFill="1"/>
    <xf numFmtId="0" fontId="0" fillId="0" borderId="4" xfId="0" applyBorder="1"/>
    <xf numFmtId="0" fontId="0" fillId="0" borderId="0" xfId="0" applyAlignment="1">
      <alignment horizontal="left" vertical="center"/>
    </xf>
    <xf numFmtId="0" fontId="0" fillId="5" borderId="8" xfId="0" applyFill="1" applyBorder="1" applyAlignment="1">
      <alignment horizontal="left" vertical="center" shrinkToFit="1"/>
    </xf>
    <xf numFmtId="0" fontId="31" fillId="0" borderId="0" xfId="0" applyFont="1" applyAlignment="1">
      <alignment horizontal="left" vertical="center"/>
    </xf>
    <xf numFmtId="0" fontId="32" fillId="0" borderId="0" xfId="0" applyFont="1" applyAlignment="1">
      <alignment horizontal="left" vertical="center"/>
    </xf>
    <xf numFmtId="0" fontId="0" fillId="4" borderId="9" xfId="0" applyFill="1" applyBorder="1"/>
    <xf numFmtId="0" fontId="0" fillId="4" borderId="10" xfId="0" applyFill="1" applyBorder="1"/>
    <xf numFmtId="0" fontId="0" fillId="4" borderId="10" xfId="0" applyFill="1" applyBorder="1" applyAlignment="1">
      <alignment horizontal="center" vertical="center"/>
    </xf>
    <xf numFmtId="0" fontId="0" fillId="0" borderId="11" xfId="0" applyBorder="1"/>
    <xf numFmtId="0" fontId="0" fillId="4" borderId="10" xfId="0" applyFill="1" applyBorder="1" applyAlignment="1">
      <alignment horizontal="left" vertical="center"/>
    </xf>
    <xf numFmtId="0" fontId="0" fillId="0" borderId="12" xfId="0" applyBorder="1"/>
    <xf numFmtId="0" fontId="3" fillId="0" borderId="0" xfId="0" applyFont="1"/>
    <xf numFmtId="0" fontId="4" fillId="0" borderId="0" xfId="0" applyFont="1"/>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3" fillId="4" borderId="0" xfId="0" applyFont="1" applyFill="1"/>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8"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2" xfId="0" applyFont="1" applyBorder="1" applyAlignment="1">
      <alignment vertical="center"/>
    </xf>
    <xf numFmtId="0" fontId="6" fillId="0" borderId="10" xfId="0" applyFont="1" applyBorder="1" applyAlignment="1">
      <alignment vertical="center"/>
    </xf>
    <xf numFmtId="0" fontId="6" fillId="0" borderId="27" xfId="0" applyFont="1" applyBorder="1" applyAlignment="1">
      <alignment vertical="center"/>
    </xf>
    <xf numFmtId="0" fontId="33" fillId="0" borderId="0" xfId="0" applyFont="1" applyAlignment="1">
      <alignment horizontal="right" vertical="center"/>
    </xf>
    <xf numFmtId="0" fontId="0" fillId="5" borderId="28" xfId="0" applyFill="1" applyBorder="1"/>
    <xf numFmtId="0" fontId="34" fillId="4" borderId="10" xfId="0" applyFont="1" applyFill="1" applyBorder="1" applyAlignment="1">
      <alignment vertical="center"/>
    </xf>
    <xf numFmtId="0" fontId="0" fillId="0" borderId="0" xfId="0" applyProtection="1">
      <protection locked="0"/>
    </xf>
    <xf numFmtId="0" fontId="35" fillId="6" borderId="29" xfId="0" applyFont="1" applyFill="1" applyBorder="1" applyAlignment="1">
      <alignment horizontal="center" vertical="center"/>
    </xf>
    <xf numFmtId="181" fontId="35" fillId="6" borderId="29" xfId="0" applyNumberFormat="1" applyFont="1" applyFill="1" applyBorder="1" applyAlignment="1">
      <alignment horizontal="right" vertical="center"/>
    </xf>
    <xf numFmtId="0" fontId="0" fillId="7" borderId="30" xfId="0" applyFill="1" applyBorder="1"/>
    <xf numFmtId="14" fontId="0" fillId="5" borderId="28" xfId="0" applyNumberFormat="1" applyFill="1" applyBorder="1" applyAlignment="1">
      <alignment horizontal="center" vertical="center"/>
    </xf>
    <xf numFmtId="177" fontId="0" fillId="5" borderId="31" xfId="0" applyNumberFormat="1" applyFill="1" applyBorder="1" applyAlignment="1">
      <alignment vertical="center"/>
    </xf>
    <xf numFmtId="0" fontId="36" fillId="4" borderId="10" xfId="0" applyFont="1" applyFill="1" applyBorder="1" applyAlignment="1">
      <alignment horizontal="left" vertical="center"/>
    </xf>
    <xf numFmtId="0" fontId="36" fillId="0" borderId="0" xfId="0" applyFont="1" applyAlignment="1">
      <alignment horizontal="left" vertical="center"/>
    </xf>
    <xf numFmtId="0" fontId="37" fillId="0" borderId="0" xfId="0" applyFont="1"/>
    <xf numFmtId="182" fontId="0" fillId="0" borderId="32" xfId="0" applyNumberFormat="1" applyBorder="1"/>
    <xf numFmtId="0" fontId="0" fillId="0" borderId="33" xfId="0" applyBorder="1"/>
    <xf numFmtId="0" fontId="38" fillId="0" borderId="3" xfId="0" applyFont="1" applyBorder="1"/>
    <xf numFmtId="0" fontId="37" fillId="0" borderId="3" xfId="0" applyFont="1" applyBorder="1"/>
    <xf numFmtId="0" fontId="38" fillId="8" borderId="0" xfId="0" applyFont="1" applyFill="1"/>
    <xf numFmtId="0" fontId="38" fillId="9" borderId="0" xfId="0" applyFont="1" applyFill="1"/>
    <xf numFmtId="0" fontId="38" fillId="10" borderId="0" xfId="0" applyFont="1" applyFill="1"/>
    <xf numFmtId="0" fontId="39" fillId="10" borderId="0" xfId="0" applyFont="1" applyFill="1"/>
    <xf numFmtId="0" fontId="38" fillId="11" borderId="0" xfId="0" applyFont="1" applyFill="1"/>
    <xf numFmtId="0" fontId="37" fillId="11" borderId="0" xfId="0" applyFont="1" applyFill="1"/>
    <xf numFmtId="0" fontId="38" fillId="12" borderId="0" xfId="0" applyFont="1" applyFill="1"/>
    <xf numFmtId="0" fontId="37" fillId="12" borderId="0" xfId="0" applyFont="1" applyFill="1"/>
    <xf numFmtId="0" fontId="38" fillId="13" borderId="0" xfId="0" applyFont="1" applyFill="1"/>
    <xf numFmtId="0" fontId="37" fillId="13" borderId="0" xfId="0" applyFont="1" applyFill="1"/>
    <xf numFmtId="0" fontId="37" fillId="9" borderId="0" xfId="0" applyFont="1" applyFill="1"/>
    <xf numFmtId="0" fontId="38" fillId="14" borderId="0" xfId="0" applyFont="1" applyFill="1"/>
    <xf numFmtId="0" fontId="37" fillId="14" borderId="0" xfId="0" applyFont="1" applyFill="1"/>
    <xf numFmtId="0" fontId="37" fillId="8" borderId="0" xfId="0" applyFont="1" applyFill="1"/>
    <xf numFmtId="0" fontId="38" fillId="15" borderId="0" xfId="0" applyFont="1" applyFill="1"/>
    <xf numFmtId="0" fontId="37" fillId="15" borderId="0" xfId="0" applyFont="1" applyFill="1"/>
    <xf numFmtId="0" fontId="40" fillId="0" borderId="0" xfId="2" applyFont="1">
      <alignment vertical="center"/>
    </xf>
    <xf numFmtId="0" fontId="0" fillId="0" borderId="208" xfId="0" applyBorder="1"/>
    <xf numFmtId="182" fontId="0" fillId="0" borderId="209" xfId="0" applyNumberFormat="1" applyBorder="1"/>
    <xf numFmtId="0" fontId="40" fillId="5" borderId="34" xfId="2" applyFont="1" applyFill="1" applyBorder="1" applyAlignment="1">
      <alignment horizontal="center" vertical="center"/>
    </xf>
    <xf numFmtId="0" fontId="40" fillId="5" borderId="35" xfId="2" applyFont="1" applyFill="1" applyBorder="1" applyAlignment="1">
      <alignment horizontal="center" vertical="center"/>
    </xf>
    <xf numFmtId="0" fontId="40" fillId="5" borderId="36" xfId="2" applyFont="1" applyFill="1" applyBorder="1" applyAlignment="1">
      <alignment horizontal="center" vertical="center"/>
    </xf>
    <xf numFmtId="0" fontId="41" fillId="0" borderId="0" xfId="2" applyFont="1">
      <alignment vertical="center"/>
    </xf>
    <xf numFmtId="176" fontId="40" fillId="0" borderId="0" xfId="2" applyNumberFormat="1" applyFont="1">
      <alignment vertical="center"/>
    </xf>
    <xf numFmtId="0" fontId="30" fillId="0" borderId="0" xfId="2" applyFont="1" applyAlignment="1"/>
    <xf numFmtId="182" fontId="40" fillId="0" borderId="0" xfId="2" applyNumberFormat="1" applyFont="1">
      <alignment vertical="center"/>
    </xf>
    <xf numFmtId="176" fontId="40" fillId="5" borderId="0" xfId="2" applyNumberFormat="1" applyFont="1" applyFill="1">
      <alignment vertical="center"/>
    </xf>
    <xf numFmtId="0" fontId="40" fillId="5" borderId="0" xfId="2" applyFont="1" applyFill="1">
      <alignment vertical="center"/>
    </xf>
    <xf numFmtId="182" fontId="40" fillId="5" borderId="0" xfId="2" applyNumberFormat="1" applyFont="1" applyFill="1">
      <alignment vertical="center"/>
    </xf>
    <xf numFmtId="0" fontId="30" fillId="0" borderId="0" xfId="2" applyFont="1">
      <alignment vertical="center"/>
    </xf>
    <xf numFmtId="0" fontId="40" fillId="0" borderId="0" xfId="2" applyFont="1" applyProtection="1">
      <alignment vertical="center"/>
      <protection locked="0"/>
    </xf>
    <xf numFmtId="0" fontId="31" fillId="5" borderId="37" xfId="0" applyFont="1" applyFill="1" applyBorder="1" applyAlignment="1">
      <alignment horizontal="center" vertical="center"/>
    </xf>
    <xf numFmtId="0" fontId="42" fillId="0" borderId="0" xfId="2" applyFont="1">
      <alignment vertical="center"/>
    </xf>
    <xf numFmtId="0" fontId="40" fillId="5" borderId="38" xfId="2" applyFont="1" applyFill="1" applyBorder="1" applyAlignment="1">
      <alignment horizontal="center" vertical="center"/>
    </xf>
    <xf numFmtId="176" fontId="0" fillId="5" borderId="39" xfId="0" applyNumberFormat="1" applyFill="1" applyBorder="1" applyAlignment="1">
      <alignment horizontal="center" vertical="center"/>
    </xf>
    <xf numFmtId="176" fontId="0" fillId="5" borderId="40" xfId="0" applyNumberFormat="1" applyFill="1" applyBorder="1" applyAlignment="1">
      <alignment horizontal="center" vertical="center"/>
    </xf>
    <xf numFmtId="0" fontId="0" fillId="16" borderId="0" xfId="0" applyFill="1"/>
    <xf numFmtId="0" fontId="43" fillId="5" borderId="41" xfId="0" applyFont="1" applyFill="1" applyBorder="1" applyAlignment="1">
      <alignment horizontal="center" vertical="center" shrinkToFit="1"/>
    </xf>
    <xf numFmtId="0" fontId="43" fillId="5" borderId="34" xfId="0" applyFont="1" applyFill="1" applyBorder="1" applyAlignment="1">
      <alignment horizontal="center" vertical="center" shrinkToFit="1"/>
    </xf>
    <xf numFmtId="0" fontId="35" fillId="0" borderId="0" xfId="0" applyFont="1" applyAlignment="1">
      <alignment horizontal="center" vertical="center"/>
    </xf>
    <xf numFmtId="0" fontId="35" fillId="0" borderId="0" xfId="0" applyFont="1" applyAlignment="1">
      <alignment vertical="center"/>
    </xf>
    <xf numFmtId="0" fontId="0" fillId="5" borderId="42" xfId="0" applyFill="1" applyBorder="1" applyAlignment="1">
      <alignment horizontal="center" vertical="center" shrinkToFit="1"/>
    </xf>
    <xf numFmtId="0" fontId="0" fillId="5" borderId="43" xfId="0" applyFill="1" applyBorder="1" applyAlignment="1">
      <alignment horizontal="center" vertical="center" shrinkToFit="1"/>
    </xf>
    <xf numFmtId="0" fontId="0" fillId="0" borderId="10" xfId="0" applyBorder="1"/>
    <xf numFmtId="0" fontId="44" fillId="0" borderId="0" xfId="0" applyFont="1" applyAlignment="1">
      <alignment vertical="center"/>
    </xf>
    <xf numFmtId="0" fontId="0" fillId="0" borderId="3" xfId="0" applyBorder="1" applyProtection="1">
      <protection locked="0"/>
    </xf>
    <xf numFmtId="0" fontId="6" fillId="0" borderId="13" xfId="0" applyFont="1" applyBorder="1" applyAlignment="1">
      <alignment horizontal="left" vertical="center"/>
    </xf>
    <xf numFmtId="0" fontId="6" fillId="0" borderId="10" xfId="0" applyFont="1" applyBorder="1" applyAlignment="1">
      <alignment horizontal="center" vertical="center"/>
    </xf>
    <xf numFmtId="0" fontId="6" fillId="0" borderId="27" xfId="0" applyFont="1" applyBorder="1" applyAlignment="1">
      <alignment horizontal="center" vertical="center"/>
    </xf>
    <xf numFmtId="0" fontId="6" fillId="0" borderId="2" xfId="0" applyFont="1" applyBorder="1" applyAlignment="1">
      <alignment horizontal="left" vertical="center"/>
    </xf>
    <xf numFmtId="0" fontId="6" fillId="0" borderId="14" xfId="0" applyFont="1" applyBorder="1" applyAlignment="1">
      <alignment horizontal="center"/>
    </xf>
    <xf numFmtId="0" fontId="6" fillId="0" borderId="44" xfId="0" applyFont="1" applyBorder="1" applyAlignment="1">
      <alignment vertical="center"/>
    </xf>
    <xf numFmtId="0" fontId="6" fillId="0" borderId="0" xfId="0" applyFont="1" applyAlignment="1">
      <alignment vertical="center"/>
    </xf>
    <xf numFmtId="0" fontId="6" fillId="0" borderId="45" xfId="0" applyFont="1" applyBorder="1" applyAlignment="1">
      <alignment vertical="center"/>
    </xf>
    <xf numFmtId="0" fontId="3" fillId="0" borderId="13" xfId="0" applyFont="1" applyBorder="1"/>
    <xf numFmtId="0" fontId="6" fillId="0" borderId="10" xfId="0" applyFont="1" applyBorder="1" applyAlignment="1">
      <alignment horizontal="center"/>
    </xf>
    <xf numFmtId="0" fontId="6" fillId="0" borderId="10" xfId="0" applyFont="1" applyBorder="1" applyAlignment="1">
      <alignment horizontal="left"/>
    </xf>
    <xf numFmtId="0" fontId="6" fillId="0" borderId="45" xfId="0" applyFont="1" applyBorder="1" applyAlignment="1">
      <alignment horizontal="right" vertical="center"/>
    </xf>
    <xf numFmtId="0" fontId="6" fillId="0" borderId="0" xfId="0" applyFont="1" applyAlignment="1">
      <alignment horizontal="right" vertical="center"/>
    </xf>
    <xf numFmtId="0" fontId="6" fillId="0" borderId="13" xfId="0" applyFont="1" applyBorder="1" applyAlignment="1">
      <alignment vertical="top"/>
    </xf>
    <xf numFmtId="0" fontId="6" fillId="0" borderId="14" xfId="0" applyFont="1" applyBorder="1" applyAlignment="1">
      <alignment vertical="top"/>
    </xf>
    <xf numFmtId="0" fontId="6" fillId="0" borderId="15" xfId="0" applyFont="1" applyBorder="1" applyAlignment="1">
      <alignment vertical="top"/>
    </xf>
    <xf numFmtId="0" fontId="6" fillId="0" borderId="44" xfId="0" applyFont="1" applyBorder="1" applyAlignment="1">
      <alignment vertical="top"/>
    </xf>
    <xf numFmtId="0" fontId="6" fillId="0" borderId="0" xfId="0" applyFont="1" applyAlignment="1">
      <alignment vertical="top"/>
    </xf>
    <xf numFmtId="0" fontId="6" fillId="0" borderId="45" xfId="0" applyFont="1" applyBorder="1" applyAlignment="1">
      <alignment vertical="top"/>
    </xf>
    <xf numFmtId="0" fontId="6" fillId="0" borderId="8" xfId="0" applyFont="1" applyBorder="1" applyAlignment="1">
      <alignment vertical="top"/>
    </xf>
    <xf numFmtId="0" fontId="6" fillId="0" borderId="16" xfId="0" applyFont="1" applyBorder="1" applyAlignment="1">
      <alignment vertical="top"/>
    </xf>
    <xf numFmtId="0" fontId="6" fillId="0" borderId="17" xfId="0" applyFont="1" applyBorder="1" applyAlignment="1">
      <alignment vertical="top"/>
    </xf>
    <xf numFmtId="0" fontId="6" fillId="2" borderId="10" xfId="0" applyFont="1" applyFill="1" applyBorder="1" applyAlignment="1">
      <alignment vertical="center"/>
    </xf>
    <xf numFmtId="0" fontId="6" fillId="2" borderId="27" xfId="0" applyFont="1" applyFill="1" applyBorder="1" applyAlignment="1">
      <alignment vertical="center"/>
    </xf>
    <xf numFmtId="0" fontId="11" fillId="2" borderId="2"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45" fillId="4" borderId="10" xfId="0" applyFont="1" applyFill="1" applyBorder="1" applyAlignment="1">
      <alignment vertical="center"/>
    </xf>
    <xf numFmtId="176" fontId="31" fillId="17" borderId="1" xfId="0" applyNumberFormat="1" applyFont="1" applyFill="1" applyBorder="1" applyAlignment="1" applyProtection="1">
      <alignment horizontal="center" vertical="center" shrinkToFit="1"/>
      <protection locked="0"/>
    </xf>
    <xf numFmtId="49" fontId="31" fillId="17" borderId="2" xfId="0" applyNumberFormat="1" applyFont="1" applyFill="1" applyBorder="1" applyAlignment="1" applyProtection="1">
      <alignment horizontal="left" vertical="center" shrinkToFit="1"/>
      <protection locked="0"/>
    </xf>
    <xf numFmtId="176" fontId="31" fillId="17" borderId="37" xfId="0" applyNumberFormat="1" applyFont="1" applyFill="1" applyBorder="1" applyAlignment="1" applyProtection="1">
      <alignment horizontal="center" vertical="center" shrinkToFit="1"/>
      <protection locked="0"/>
    </xf>
    <xf numFmtId="49" fontId="31" fillId="17" borderId="46" xfId="0" applyNumberFormat="1" applyFont="1" applyFill="1" applyBorder="1" applyAlignment="1" applyProtection="1">
      <alignment horizontal="left" vertical="center" shrinkToFit="1"/>
      <protection locked="0"/>
    </xf>
    <xf numFmtId="0" fontId="0" fillId="17" borderId="1" xfId="0" applyFill="1" applyBorder="1"/>
    <xf numFmtId="0" fontId="0" fillId="17" borderId="37" xfId="0" applyFill="1" applyBorder="1"/>
    <xf numFmtId="0" fontId="31" fillId="17" borderId="1" xfId="0" applyFont="1" applyFill="1" applyBorder="1" applyAlignment="1" applyProtection="1">
      <alignment horizontal="center" vertical="center" shrinkToFit="1"/>
      <protection locked="0"/>
    </xf>
    <xf numFmtId="49" fontId="31" fillId="17" borderId="1" xfId="0" applyNumberFormat="1" applyFont="1" applyFill="1" applyBorder="1" applyAlignment="1" applyProtection="1">
      <alignment horizontal="center" vertical="center" shrinkToFit="1"/>
      <protection locked="0"/>
    </xf>
    <xf numFmtId="0" fontId="31" fillId="17" borderId="37" xfId="0" applyFont="1" applyFill="1" applyBorder="1" applyAlignment="1" applyProtection="1">
      <alignment horizontal="center" vertical="center" shrinkToFit="1"/>
      <protection locked="0"/>
    </xf>
    <xf numFmtId="49" fontId="31" fillId="17" borderId="37" xfId="0" applyNumberFormat="1" applyFont="1" applyFill="1" applyBorder="1" applyAlignment="1" applyProtection="1">
      <alignment horizontal="center" vertical="center" shrinkToFit="1"/>
      <protection locked="0"/>
    </xf>
    <xf numFmtId="0" fontId="46" fillId="0" borderId="0" xfId="0" applyFont="1"/>
    <xf numFmtId="0" fontId="3" fillId="18" borderId="47" xfId="0" applyFont="1" applyFill="1" applyBorder="1"/>
    <xf numFmtId="0" fontId="3" fillId="18" borderId="48" xfId="0" applyFont="1" applyFill="1" applyBorder="1"/>
    <xf numFmtId="0" fontId="3" fillId="18" borderId="49" xfId="0" applyFont="1" applyFill="1" applyBorder="1"/>
    <xf numFmtId="0" fontId="33" fillId="18" borderId="50" xfId="0" applyFont="1" applyFill="1" applyBorder="1"/>
    <xf numFmtId="0" fontId="33" fillId="18" borderId="0" xfId="0" applyFont="1" applyFill="1"/>
    <xf numFmtId="0" fontId="33" fillId="18" borderId="51" xfId="0" applyFont="1" applyFill="1" applyBorder="1"/>
    <xf numFmtId="0" fontId="33" fillId="18" borderId="52" xfId="0" applyFont="1" applyFill="1" applyBorder="1"/>
    <xf numFmtId="0" fontId="33" fillId="18" borderId="53" xfId="0" applyFont="1" applyFill="1" applyBorder="1"/>
    <xf numFmtId="0" fontId="33" fillId="18" borderId="54" xfId="0" applyFont="1" applyFill="1" applyBorder="1"/>
    <xf numFmtId="0" fontId="46" fillId="18" borderId="0" xfId="0" applyFont="1" applyFill="1"/>
    <xf numFmtId="0" fontId="47" fillId="0" borderId="0" xfId="0" applyFont="1" applyProtection="1">
      <protection hidden="1"/>
    </xf>
    <xf numFmtId="0" fontId="40" fillId="0" borderId="1" xfId="0" applyFont="1" applyBorder="1" applyAlignment="1" applyProtection="1">
      <alignment horizontal="center" vertical="center" shrinkToFit="1"/>
      <protection hidden="1"/>
    </xf>
    <xf numFmtId="0" fontId="40" fillId="0" borderId="55" xfId="0" applyFont="1" applyBorder="1" applyAlignment="1" applyProtection="1">
      <alignment horizontal="center" vertical="center" shrinkToFit="1"/>
      <protection hidden="1"/>
    </xf>
    <xf numFmtId="0" fontId="40" fillId="0" borderId="56" xfId="0" applyFont="1" applyBorder="1" applyAlignment="1" applyProtection="1">
      <alignment horizontal="center" vertical="center" shrinkToFit="1"/>
      <protection hidden="1"/>
    </xf>
    <xf numFmtId="0" fontId="40" fillId="0" borderId="57" xfId="0" applyFont="1" applyBorder="1" applyAlignment="1" applyProtection="1">
      <alignment horizontal="center" vertical="center" shrinkToFit="1"/>
      <protection hidden="1"/>
    </xf>
    <xf numFmtId="0" fontId="40" fillId="0" borderId="58" xfId="0" applyFont="1" applyBorder="1" applyAlignment="1" applyProtection="1">
      <alignment horizontal="center" vertical="center" shrinkToFit="1"/>
      <protection hidden="1"/>
    </xf>
    <xf numFmtId="0" fontId="30" fillId="0" borderId="0" xfId="0" applyFont="1" applyAlignment="1">
      <alignment horizontal="center" vertical="center"/>
    </xf>
    <xf numFmtId="0" fontId="30" fillId="0" borderId="0" xfId="0" applyFont="1"/>
    <xf numFmtId="0" fontId="40" fillId="0" borderId="0" xfId="0" applyFont="1" applyAlignment="1" applyProtection="1">
      <alignment vertical="center"/>
      <protection hidden="1"/>
    </xf>
    <xf numFmtId="14" fontId="47" fillId="0" borderId="3" xfId="0" applyNumberFormat="1" applyFont="1" applyBorder="1" applyProtection="1">
      <protection hidden="1"/>
    </xf>
    <xf numFmtId="0" fontId="47" fillId="0" borderId="3" xfId="0" applyFont="1" applyBorder="1" applyProtection="1">
      <protection hidden="1"/>
    </xf>
    <xf numFmtId="182" fontId="47" fillId="0" borderId="3" xfId="0" applyNumberFormat="1" applyFont="1" applyBorder="1" applyProtection="1">
      <protection hidden="1"/>
    </xf>
    <xf numFmtId="0" fontId="49" fillId="0" borderId="0" xfId="0" applyFont="1" applyProtection="1">
      <protection hidden="1"/>
    </xf>
    <xf numFmtId="0" fontId="47" fillId="0" borderId="3" xfId="0" applyFont="1" applyBorder="1" applyAlignment="1" applyProtection="1">
      <alignment horizontal="center" vertical="center"/>
      <protection hidden="1"/>
    </xf>
    <xf numFmtId="0" fontId="47" fillId="0" borderId="44" xfId="0" applyFont="1" applyBorder="1" applyAlignment="1" applyProtection="1">
      <alignment vertical="center"/>
      <protection hidden="1"/>
    </xf>
    <xf numFmtId="0" fontId="47" fillId="0" borderId="0" xfId="0" applyFont="1" applyAlignment="1" applyProtection="1">
      <alignment horizontal="center" vertical="center"/>
      <protection hidden="1"/>
    </xf>
    <xf numFmtId="0" fontId="50" fillId="0" borderId="0" xfId="0" applyFont="1" applyProtection="1">
      <protection hidden="1"/>
    </xf>
    <xf numFmtId="0" fontId="0" fillId="0" borderId="0" xfId="0" applyProtection="1">
      <protection hidden="1"/>
    </xf>
    <xf numFmtId="0" fontId="51" fillId="0" borderId="0" xfId="0" applyFont="1" applyAlignment="1" applyProtection="1">
      <alignment vertical="center"/>
      <protection hidden="1"/>
    </xf>
    <xf numFmtId="0" fontId="52" fillId="0" borderId="0" xfId="0" applyFont="1" applyAlignment="1" applyProtection="1">
      <alignment vertical="center"/>
      <protection hidden="1"/>
    </xf>
    <xf numFmtId="0" fontId="53" fillId="0" borderId="0" xfId="0" applyFont="1" applyAlignment="1" applyProtection="1">
      <alignment vertical="center"/>
      <protection hidden="1"/>
    </xf>
    <xf numFmtId="0" fontId="40" fillId="0" borderId="0" xfId="0" applyFont="1" applyProtection="1">
      <protection hidden="1"/>
    </xf>
    <xf numFmtId="0" fontId="40" fillId="0" borderId="1" xfId="0" applyFont="1" applyBorder="1" applyAlignment="1" applyProtection="1">
      <alignment horizontal="center" vertical="center"/>
      <protection hidden="1"/>
    </xf>
    <xf numFmtId="0" fontId="40" fillId="5" borderId="1" xfId="0" applyFont="1" applyFill="1" applyBorder="1" applyAlignment="1" applyProtection="1">
      <alignment horizontal="center" vertical="center"/>
      <protection hidden="1"/>
    </xf>
    <xf numFmtId="0" fontId="40" fillId="0" borderId="0" xfId="0" applyFont="1" applyAlignment="1" applyProtection="1">
      <alignment horizontal="center" vertical="center"/>
      <protection hidden="1"/>
    </xf>
    <xf numFmtId="178" fontId="54" fillId="0" borderId="44" xfId="0" applyNumberFormat="1" applyFont="1" applyBorder="1" applyAlignment="1" applyProtection="1">
      <alignment vertical="center"/>
      <protection hidden="1"/>
    </xf>
    <xf numFmtId="178" fontId="54" fillId="0" borderId="0" xfId="0" applyNumberFormat="1" applyFont="1" applyAlignment="1" applyProtection="1">
      <alignment vertical="center"/>
      <protection hidden="1"/>
    </xf>
    <xf numFmtId="178" fontId="54" fillId="0" borderId="8" xfId="0" applyNumberFormat="1" applyFont="1" applyBorder="1" applyAlignment="1" applyProtection="1">
      <alignment vertical="center"/>
      <protection hidden="1"/>
    </xf>
    <xf numFmtId="178" fontId="54" fillId="0" borderId="16" xfId="0" applyNumberFormat="1" applyFont="1" applyBorder="1" applyAlignment="1" applyProtection="1">
      <alignment vertical="center"/>
      <protection hidden="1"/>
    </xf>
    <xf numFmtId="0" fontId="48" fillId="0" borderId="10" xfId="0" applyFont="1" applyBorder="1" applyAlignment="1" applyProtection="1">
      <alignment horizontal="center" vertical="center" shrinkToFit="1"/>
      <protection hidden="1"/>
    </xf>
    <xf numFmtId="0" fontId="40" fillId="0" borderId="1" xfId="0" applyFont="1" applyBorder="1" applyAlignment="1" applyProtection="1">
      <alignment horizontal="center" vertical="center" wrapText="1"/>
      <protection hidden="1"/>
    </xf>
    <xf numFmtId="0" fontId="40" fillId="5" borderId="55" xfId="0" applyFont="1" applyFill="1" applyBorder="1" applyAlignment="1" applyProtection="1">
      <alignment vertical="center" textRotation="255"/>
      <protection hidden="1"/>
    </xf>
    <xf numFmtId="0" fontId="55" fillId="5" borderId="2" xfId="0" applyFont="1" applyFill="1" applyBorder="1" applyAlignment="1" applyProtection="1">
      <alignment vertical="center"/>
      <protection hidden="1"/>
    </xf>
    <xf numFmtId="0" fontId="40" fillId="5" borderId="27" xfId="0" applyFont="1" applyFill="1" applyBorder="1" applyAlignment="1" applyProtection="1">
      <alignment vertical="center"/>
      <protection hidden="1"/>
    </xf>
    <xf numFmtId="0" fontId="10" fillId="5" borderId="56" xfId="0" applyFont="1" applyFill="1" applyBorder="1" applyAlignment="1" applyProtection="1">
      <alignment vertical="center"/>
      <protection hidden="1"/>
    </xf>
    <xf numFmtId="0" fontId="40" fillId="5" borderId="59" xfId="0" applyFont="1" applyFill="1" applyBorder="1" applyAlignment="1" applyProtection="1">
      <alignment horizontal="center" vertical="center"/>
      <protection hidden="1"/>
    </xf>
    <xf numFmtId="0" fontId="0" fillId="19" borderId="0" xfId="0" applyFill="1" applyProtection="1">
      <protection hidden="1"/>
    </xf>
    <xf numFmtId="0" fontId="40" fillId="5" borderId="0" xfId="0" applyFont="1" applyFill="1" applyProtection="1">
      <protection hidden="1"/>
    </xf>
    <xf numFmtId="0" fontId="40" fillId="5" borderId="59" xfId="0" applyFont="1" applyFill="1" applyBorder="1" applyAlignment="1" applyProtection="1">
      <alignment vertical="center" textRotation="255"/>
      <protection hidden="1"/>
    </xf>
    <xf numFmtId="0" fontId="40" fillId="0" borderId="18" xfId="0" applyFont="1" applyBorder="1" applyAlignment="1" applyProtection="1">
      <alignment horizontal="center" vertical="center"/>
      <protection hidden="1"/>
    </xf>
    <xf numFmtId="0" fontId="54" fillId="0" borderId="20" xfId="0" applyFont="1" applyBorder="1" applyAlignment="1" applyProtection="1">
      <alignment horizontal="center" vertical="center"/>
      <protection hidden="1"/>
    </xf>
    <xf numFmtId="178" fontId="56" fillId="0" borderId="56" xfId="0" applyNumberFormat="1" applyFont="1" applyBorder="1" applyAlignment="1" applyProtection="1">
      <alignment horizontal="center" vertical="center"/>
      <protection hidden="1"/>
    </xf>
    <xf numFmtId="176" fontId="56" fillId="0" borderId="56" xfId="0" applyNumberFormat="1" applyFont="1" applyBorder="1" applyAlignment="1" applyProtection="1">
      <alignment horizontal="center" vertical="center"/>
      <protection hidden="1"/>
    </xf>
    <xf numFmtId="0" fontId="0" fillId="0" borderId="57" xfId="0" applyBorder="1" applyProtection="1">
      <protection hidden="1"/>
    </xf>
    <xf numFmtId="0" fontId="40" fillId="0" borderId="21" xfId="0" applyFont="1" applyBorder="1" applyAlignment="1" applyProtection="1">
      <alignment horizontal="center" vertical="center"/>
      <protection hidden="1"/>
    </xf>
    <xf numFmtId="0" fontId="54" fillId="0" borderId="23" xfId="0" applyFont="1" applyBorder="1" applyAlignment="1" applyProtection="1">
      <alignment horizontal="center" vertical="center"/>
      <protection hidden="1"/>
    </xf>
    <xf numFmtId="178" fontId="56" fillId="0" borderId="57" xfId="0" applyNumberFormat="1" applyFont="1" applyBorder="1" applyAlignment="1" applyProtection="1">
      <alignment horizontal="center" vertical="center"/>
      <protection hidden="1"/>
    </xf>
    <xf numFmtId="176" fontId="56" fillId="0" borderId="57" xfId="0" applyNumberFormat="1" applyFont="1" applyBorder="1" applyAlignment="1" applyProtection="1">
      <alignment horizontal="center" vertical="center"/>
      <protection hidden="1"/>
    </xf>
    <xf numFmtId="0" fontId="40" fillId="5" borderId="6" xfId="0" applyFont="1" applyFill="1" applyBorder="1" applyAlignment="1" applyProtection="1">
      <alignment vertical="center" textRotation="255"/>
      <protection hidden="1"/>
    </xf>
    <xf numFmtId="0" fontId="40" fillId="0" borderId="24" xfId="0" applyFont="1" applyBorder="1" applyAlignment="1" applyProtection="1">
      <alignment horizontal="center" vertical="center"/>
      <protection hidden="1"/>
    </xf>
    <xf numFmtId="0" fontId="54" fillId="0" borderId="26" xfId="0" applyFont="1" applyBorder="1" applyAlignment="1" applyProtection="1">
      <alignment horizontal="center" vertical="center"/>
      <protection hidden="1"/>
    </xf>
    <xf numFmtId="178" fontId="56" fillId="0" borderId="58" xfId="0" applyNumberFormat="1" applyFont="1" applyBorder="1" applyAlignment="1" applyProtection="1">
      <alignment horizontal="center" vertical="center"/>
      <protection hidden="1"/>
    </xf>
    <xf numFmtId="176" fontId="56" fillId="0" borderId="58" xfId="0" applyNumberFormat="1" applyFont="1" applyBorder="1" applyAlignment="1" applyProtection="1">
      <alignment horizontal="center" vertical="center"/>
      <protection hidden="1"/>
    </xf>
    <xf numFmtId="0" fontId="0" fillId="0" borderId="58" xfId="0" applyBorder="1" applyProtection="1">
      <protection hidden="1"/>
    </xf>
    <xf numFmtId="0" fontId="31" fillId="20" borderId="0" xfId="0" applyFont="1" applyFill="1"/>
    <xf numFmtId="0" fontId="57" fillId="0" borderId="0" xfId="2" applyFont="1" applyAlignment="1"/>
    <xf numFmtId="0" fontId="58" fillId="0" borderId="0" xfId="2" applyFont="1">
      <alignment vertical="center"/>
    </xf>
    <xf numFmtId="0" fontId="0" fillId="13" borderId="0" xfId="0" applyFill="1"/>
    <xf numFmtId="0" fontId="0" fillId="13" borderId="0" xfId="0" applyFill="1" applyAlignment="1">
      <alignment horizontal="center" vertical="center"/>
    </xf>
    <xf numFmtId="0" fontId="0" fillId="13" borderId="3" xfId="0" applyFill="1" applyBorder="1" applyAlignment="1">
      <alignment vertical="center"/>
    </xf>
    <xf numFmtId="0" fontId="27" fillId="13" borderId="0" xfId="0" applyFont="1" applyFill="1"/>
    <xf numFmtId="0" fontId="3" fillId="0" borderId="210" xfId="0" applyFont="1" applyBorder="1"/>
    <xf numFmtId="0" fontId="3" fillId="0" borderId="211" xfId="0" applyFont="1" applyBorder="1"/>
    <xf numFmtId="0" fontId="3" fillId="0" borderId="212" xfId="0" applyFont="1" applyBorder="1"/>
    <xf numFmtId="0" fontId="3" fillId="0" borderId="213" xfId="0" applyFont="1" applyBorder="1"/>
    <xf numFmtId="0" fontId="3" fillId="0" borderId="214" xfId="0" applyFont="1" applyBorder="1"/>
    <xf numFmtId="0" fontId="3" fillId="0" borderId="213" xfId="0" applyFont="1" applyBorder="1" applyAlignment="1">
      <alignment vertical="center"/>
    </xf>
    <xf numFmtId="0" fontId="31" fillId="0" borderId="0" xfId="1" applyFont="1" applyFill="1" applyBorder="1" applyAlignment="1">
      <alignment horizontal="left" vertical="center"/>
    </xf>
    <xf numFmtId="0" fontId="59" fillId="0" borderId="0" xfId="1" applyFont="1" applyFill="1" applyBorder="1" applyAlignment="1">
      <alignment horizontal="left" vertical="center"/>
    </xf>
    <xf numFmtId="0" fontId="60" fillId="0" borderId="0" xfId="0" applyFont="1" applyAlignment="1">
      <alignment vertical="center"/>
    </xf>
    <xf numFmtId="0" fontId="3" fillId="0" borderId="215" xfId="0" applyFont="1" applyBorder="1"/>
    <xf numFmtId="0" fontId="3" fillId="0" borderId="216" xfId="0" applyFont="1" applyBorder="1"/>
    <xf numFmtId="0" fontId="3" fillId="0" borderId="217" xfId="0" applyFont="1" applyBorder="1"/>
    <xf numFmtId="0" fontId="61" fillId="0" borderId="0" xfId="2" applyFont="1" applyAlignment="1"/>
    <xf numFmtId="0" fontId="62" fillId="0" borderId="0" xfId="2" applyFont="1" applyAlignment="1">
      <alignment horizontal="right"/>
    </xf>
    <xf numFmtId="0" fontId="63" fillId="0" borderId="0" xfId="0" applyFont="1" applyAlignment="1" applyProtection="1">
      <alignment vertical="center"/>
      <protection hidden="1"/>
    </xf>
    <xf numFmtId="0" fontId="64" fillId="0" borderId="0" xfId="0" applyFont="1" applyAlignment="1" applyProtection="1">
      <alignment vertical="center"/>
      <protection hidden="1"/>
    </xf>
    <xf numFmtId="0" fontId="63" fillId="5" borderId="7" xfId="0" applyFont="1" applyFill="1" applyBorder="1" applyAlignment="1" applyProtection="1">
      <alignment horizontal="center" vertical="center"/>
      <protection hidden="1"/>
    </xf>
    <xf numFmtId="0" fontId="63" fillId="5" borderId="60" xfId="0" applyFont="1" applyFill="1" applyBorder="1" applyAlignment="1" applyProtection="1">
      <alignment horizontal="center" vertical="center"/>
      <protection hidden="1"/>
    </xf>
    <xf numFmtId="0" fontId="63" fillId="5" borderId="61" xfId="0" applyFont="1" applyFill="1" applyBorder="1" applyAlignment="1" applyProtection="1">
      <alignment horizontal="center" vertical="center"/>
      <protection hidden="1"/>
    </xf>
    <xf numFmtId="0" fontId="63" fillId="21" borderId="41" xfId="0" applyFont="1" applyFill="1" applyBorder="1" applyAlignment="1" applyProtection="1">
      <alignment horizontal="center" vertical="center"/>
      <protection hidden="1"/>
    </xf>
    <xf numFmtId="0" fontId="63" fillId="5" borderId="41" xfId="0" applyFont="1" applyFill="1" applyBorder="1" applyAlignment="1" applyProtection="1">
      <alignment horizontal="center" vertical="center"/>
      <protection hidden="1"/>
    </xf>
    <xf numFmtId="0" fontId="63" fillId="21" borderId="62" xfId="0" applyFont="1" applyFill="1" applyBorder="1" applyAlignment="1" applyProtection="1">
      <alignment horizontal="center" vertical="center"/>
      <protection hidden="1"/>
    </xf>
    <xf numFmtId="0" fontId="63" fillId="5" borderId="19" xfId="0" applyFont="1" applyFill="1" applyBorder="1" applyAlignment="1" applyProtection="1">
      <alignment horizontal="right" vertical="center" shrinkToFit="1"/>
      <protection hidden="1"/>
    </xf>
    <xf numFmtId="0" fontId="63" fillId="5" borderId="20" xfId="0" applyFont="1" applyFill="1" applyBorder="1" applyAlignment="1" applyProtection="1">
      <alignment horizontal="left" vertical="center" shrinkToFit="1"/>
      <protection hidden="1"/>
    </xf>
    <xf numFmtId="0" fontId="63" fillId="21" borderId="24" xfId="0" applyFont="1" applyFill="1" applyBorder="1" applyAlignment="1" applyProtection="1">
      <alignment vertical="center" shrinkToFit="1"/>
      <protection hidden="1"/>
    </xf>
    <xf numFmtId="0" fontId="35" fillId="5" borderId="1" xfId="0" applyFont="1" applyFill="1" applyBorder="1" applyAlignment="1" applyProtection="1">
      <alignment horizontal="center" vertical="center"/>
      <protection hidden="1"/>
    </xf>
    <xf numFmtId="0" fontId="63" fillId="21" borderId="2" xfId="0" applyFont="1" applyFill="1" applyBorder="1" applyAlignment="1" applyProtection="1">
      <alignment vertical="center"/>
      <protection hidden="1"/>
    </xf>
    <xf numFmtId="0" fontId="35" fillId="5" borderId="1" xfId="0" applyFont="1" applyFill="1" applyBorder="1" applyAlignment="1" applyProtection="1">
      <alignment horizontal="center" vertical="center" shrinkToFit="1"/>
      <protection hidden="1"/>
    </xf>
    <xf numFmtId="0" fontId="40" fillId="21" borderId="2" xfId="0" applyFont="1" applyFill="1" applyBorder="1" applyAlignment="1" applyProtection="1">
      <alignment vertical="center"/>
      <protection hidden="1"/>
    </xf>
    <xf numFmtId="0" fontId="63" fillId="5" borderId="6" xfId="0" applyFont="1" applyFill="1" applyBorder="1" applyAlignment="1" applyProtection="1">
      <alignment vertical="center"/>
      <protection hidden="1"/>
    </xf>
    <xf numFmtId="0" fontId="63" fillId="5" borderId="1" xfId="0" applyFont="1" applyFill="1" applyBorder="1" applyAlignment="1" applyProtection="1">
      <alignment vertical="center"/>
      <protection hidden="1"/>
    </xf>
    <xf numFmtId="0" fontId="65" fillId="0" borderId="0" xfId="0" applyFont="1" applyAlignment="1" applyProtection="1">
      <alignment vertical="center"/>
      <protection hidden="1"/>
    </xf>
    <xf numFmtId="0" fontId="35" fillId="5" borderId="55" xfId="0" applyFont="1" applyFill="1" applyBorder="1" applyAlignment="1" applyProtection="1">
      <alignment horizontal="center" vertical="center"/>
      <protection hidden="1"/>
    </xf>
    <xf numFmtId="177" fontId="29" fillId="5" borderId="20" xfId="0" applyNumberFormat="1" applyFont="1" applyFill="1" applyBorder="1" applyAlignment="1" applyProtection="1">
      <alignment horizontal="center" vertical="center"/>
      <protection hidden="1"/>
    </xf>
    <xf numFmtId="177" fontId="29" fillId="5" borderId="23" xfId="0" applyNumberFormat="1" applyFont="1" applyFill="1" applyBorder="1" applyAlignment="1" applyProtection="1">
      <alignment horizontal="center" vertical="center"/>
      <protection hidden="1"/>
    </xf>
    <xf numFmtId="177" fontId="29" fillId="5" borderId="26" xfId="0" applyNumberFormat="1" applyFont="1" applyFill="1" applyBorder="1" applyAlignment="1" applyProtection="1">
      <alignment horizontal="center" vertical="center"/>
      <protection hidden="1"/>
    </xf>
    <xf numFmtId="0" fontId="14" fillId="5" borderId="18" xfId="0" applyFont="1" applyFill="1" applyBorder="1" applyAlignment="1" applyProtection="1">
      <alignment vertical="center"/>
      <protection hidden="1"/>
    </xf>
    <xf numFmtId="0" fontId="15" fillId="5" borderId="20" xfId="0" applyFont="1" applyFill="1" applyBorder="1" applyAlignment="1" applyProtection="1">
      <alignment horizontal="center" vertical="center"/>
      <protection hidden="1"/>
    </xf>
    <xf numFmtId="177" fontId="15" fillId="5" borderId="20" xfId="0" applyNumberFormat="1" applyFont="1" applyFill="1" applyBorder="1" applyAlignment="1" applyProtection="1">
      <alignment horizontal="center" vertical="center"/>
      <protection hidden="1"/>
    </xf>
    <xf numFmtId="0" fontId="14" fillId="5" borderId="24" xfId="0" applyFont="1" applyFill="1" applyBorder="1" applyAlignment="1" applyProtection="1">
      <alignment vertical="center"/>
      <protection hidden="1"/>
    </xf>
    <xf numFmtId="0" fontId="15" fillId="5" borderId="26" xfId="0" applyFont="1" applyFill="1" applyBorder="1" applyAlignment="1" applyProtection="1">
      <alignment horizontal="center" vertical="center"/>
      <protection hidden="1"/>
    </xf>
    <xf numFmtId="177" fontId="15" fillId="5" borderId="26" xfId="0" applyNumberFormat="1" applyFont="1" applyFill="1" applyBorder="1" applyAlignment="1" applyProtection="1">
      <alignment horizontal="center" vertical="center"/>
      <protection hidden="1"/>
    </xf>
    <xf numFmtId="0" fontId="35" fillId="5" borderId="14" xfId="0" applyFont="1" applyFill="1" applyBorder="1" applyAlignment="1" applyProtection="1">
      <alignment vertical="center"/>
      <protection hidden="1"/>
    </xf>
    <xf numFmtId="0" fontId="35" fillId="0" borderId="0" xfId="0" applyFont="1" applyAlignment="1" applyProtection="1">
      <alignment vertical="center"/>
      <protection hidden="1"/>
    </xf>
    <xf numFmtId="0" fontId="35" fillId="0" borderId="0" xfId="0" applyFont="1" applyAlignment="1" applyProtection="1">
      <alignment horizontal="right" vertical="center"/>
      <protection hidden="1"/>
    </xf>
    <xf numFmtId="0" fontId="29" fillId="0" borderId="0" xfId="0" applyFont="1" applyAlignment="1" applyProtection="1">
      <alignment horizontal="center" vertical="center"/>
      <protection hidden="1"/>
    </xf>
    <xf numFmtId="0" fontId="37" fillId="0" borderId="0" xfId="0" applyFont="1" applyAlignment="1" applyProtection="1">
      <alignment horizontal="right" vertical="center"/>
      <protection hidden="1"/>
    </xf>
    <xf numFmtId="187" fontId="63" fillId="0" borderId="0" xfId="0" applyNumberFormat="1" applyFont="1" applyAlignment="1" applyProtection="1">
      <alignment horizontal="right" vertical="center" shrinkToFit="1"/>
      <protection hidden="1"/>
    </xf>
    <xf numFmtId="0" fontId="44" fillId="0" borderId="0" xfId="0" applyFont="1" applyAlignment="1" applyProtection="1">
      <alignment vertical="center"/>
      <protection hidden="1"/>
    </xf>
    <xf numFmtId="0" fontId="35" fillId="5" borderId="18" xfId="0" applyFont="1" applyFill="1" applyBorder="1" applyAlignment="1" applyProtection="1">
      <alignment vertical="center"/>
      <protection hidden="1"/>
    </xf>
    <xf numFmtId="0" fontId="35" fillId="5" borderId="24" xfId="0" applyFont="1" applyFill="1" applyBorder="1" applyAlignment="1" applyProtection="1">
      <alignment vertical="center"/>
      <protection hidden="1"/>
    </xf>
    <xf numFmtId="0" fontId="35" fillId="5" borderId="21" xfId="0" applyFont="1" applyFill="1" applyBorder="1" applyAlignment="1" applyProtection="1">
      <alignment vertical="center"/>
      <protection hidden="1"/>
    </xf>
    <xf numFmtId="177" fontId="29" fillId="5" borderId="25" xfId="0" applyNumberFormat="1" applyFont="1" applyFill="1" applyBorder="1" applyAlignment="1" applyProtection="1">
      <alignment horizontal="center" vertical="center"/>
      <protection hidden="1"/>
    </xf>
    <xf numFmtId="0" fontId="35" fillId="5" borderId="63" xfId="0" applyFont="1" applyFill="1" applyBorder="1" applyAlignment="1" applyProtection="1">
      <alignment horizontal="center" vertical="center"/>
      <protection hidden="1"/>
    </xf>
    <xf numFmtId="177" fontId="29" fillId="5" borderId="63" xfId="0" applyNumberFormat="1" applyFont="1" applyFill="1" applyBorder="1" applyAlignment="1" applyProtection="1">
      <alignment horizontal="center" vertical="center"/>
      <protection hidden="1"/>
    </xf>
    <xf numFmtId="177" fontId="29" fillId="5" borderId="53" xfId="0" applyNumberFormat="1" applyFont="1" applyFill="1" applyBorder="1" applyAlignment="1" applyProtection="1">
      <alignment horizontal="center" vertical="center"/>
      <protection hidden="1"/>
    </xf>
    <xf numFmtId="177" fontId="29" fillId="22" borderId="64" xfId="0" applyNumberFormat="1" applyFont="1" applyFill="1" applyBorder="1" applyAlignment="1" applyProtection="1">
      <alignment horizontal="center" vertical="center"/>
      <protection hidden="1"/>
    </xf>
    <xf numFmtId="0" fontId="66" fillId="0" borderId="0" xfId="0" applyFont="1" applyAlignment="1" applyProtection="1">
      <alignment vertical="center"/>
      <protection hidden="1"/>
    </xf>
    <xf numFmtId="0" fontId="67" fillId="0" borderId="0" xfId="0" applyFont="1" applyAlignment="1" applyProtection="1">
      <alignment vertical="center"/>
      <protection hidden="1"/>
    </xf>
    <xf numFmtId="0" fontId="31" fillId="21" borderId="1" xfId="0" applyFont="1" applyFill="1" applyBorder="1" applyAlignment="1" applyProtection="1">
      <alignment horizontal="center" vertical="center" shrinkToFit="1"/>
      <protection hidden="1"/>
    </xf>
    <xf numFmtId="0" fontId="31" fillId="21" borderId="37" xfId="0" applyFont="1" applyFill="1" applyBorder="1" applyAlignment="1" applyProtection="1">
      <alignment horizontal="center" vertical="center" shrinkToFit="1"/>
      <protection hidden="1"/>
    </xf>
    <xf numFmtId="182" fontId="31" fillId="21" borderId="1" xfId="0" applyNumberFormat="1" applyFont="1" applyFill="1" applyBorder="1" applyAlignment="1" applyProtection="1">
      <alignment horizontal="center" vertical="center"/>
      <protection hidden="1"/>
    </xf>
    <xf numFmtId="182" fontId="31" fillId="21" borderId="37" xfId="0" applyNumberFormat="1" applyFont="1" applyFill="1" applyBorder="1" applyAlignment="1" applyProtection="1">
      <alignment horizontal="center" vertical="center"/>
      <protection hidden="1"/>
    </xf>
    <xf numFmtId="177" fontId="0" fillId="5" borderId="65" xfId="0" applyNumberFormat="1" applyFill="1" applyBorder="1" applyAlignment="1" applyProtection="1">
      <alignment horizontal="right" vertical="center"/>
      <protection hidden="1"/>
    </xf>
    <xf numFmtId="176" fontId="43" fillId="17" borderId="6" xfId="0" applyNumberFormat="1" applyFont="1" applyFill="1" applyBorder="1" applyAlignment="1" applyProtection="1">
      <alignment vertical="center"/>
      <protection locked="0"/>
    </xf>
    <xf numFmtId="0" fontId="35" fillId="5" borderId="6" xfId="0" applyFont="1" applyFill="1" applyBorder="1" applyAlignment="1">
      <alignment horizontal="left" vertical="center"/>
    </xf>
    <xf numFmtId="0" fontId="40" fillId="23" borderId="10" xfId="2" applyFont="1" applyFill="1" applyBorder="1">
      <alignment vertical="center"/>
    </xf>
    <xf numFmtId="0" fontId="40" fillId="23" borderId="11" xfId="2" applyFont="1" applyFill="1" applyBorder="1">
      <alignment vertical="center"/>
    </xf>
    <xf numFmtId="0" fontId="40" fillId="23" borderId="1" xfId="2" applyFont="1" applyFill="1" applyBorder="1">
      <alignment vertical="center"/>
    </xf>
    <xf numFmtId="49" fontId="68" fillId="23" borderId="20" xfId="2" applyNumberFormat="1" applyFont="1" applyFill="1" applyBorder="1">
      <alignment vertical="center"/>
    </xf>
    <xf numFmtId="49" fontId="40" fillId="23" borderId="26" xfId="2" applyNumberFormat="1" applyFont="1" applyFill="1" applyBorder="1">
      <alignment vertical="center"/>
    </xf>
    <xf numFmtId="0" fontId="40" fillId="23" borderId="66" xfId="2" applyFont="1" applyFill="1" applyBorder="1">
      <alignment vertical="center"/>
    </xf>
    <xf numFmtId="0" fontId="40" fillId="23" borderId="67" xfId="2" applyFont="1" applyFill="1" applyBorder="1">
      <alignment vertical="center"/>
    </xf>
    <xf numFmtId="0" fontId="17" fillId="0" borderId="0" xfId="2" applyFont="1">
      <alignment vertical="center"/>
    </xf>
    <xf numFmtId="49" fontId="43" fillId="23" borderId="34" xfId="2" applyNumberFormat="1" applyFont="1" applyFill="1" applyBorder="1" applyAlignment="1">
      <alignment vertical="center" shrinkToFit="1"/>
    </xf>
    <xf numFmtId="49" fontId="43" fillId="23" borderId="68" xfId="2" applyNumberFormat="1" applyFont="1" applyFill="1" applyBorder="1" applyAlignment="1">
      <alignment vertical="center" shrinkToFit="1"/>
    </xf>
    <xf numFmtId="0" fontId="69" fillId="0" borderId="0" xfId="2" applyFont="1">
      <alignment vertical="center"/>
    </xf>
    <xf numFmtId="0" fontId="29" fillId="7" borderId="69" xfId="0" applyFont="1" applyFill="1" applyBorder="1"/>
    <xf numFmtId="0" fontId="29" fillId="7" borderId="60" xfId="0" applyFont="1" applyFill="1" applyBorder="1"/>
    <xf numFmtId="0" fontId="29" fillId="7" borderId="70" xfId="0" applyFont="1" applyFill="1" applyBorder="1"/>
    <xf numFmtId="0" fontId="29" fillId="7" borderId="71" xfId="0" applyFont="1" applyFill="1" applyBorder="1"/>
    <xf numFmtId="0" fontId="29" fillId="7" borderId="72" xfId="0" applyFont="1" applyFill="1" applyBorder="1"/>
    <xf numFmtId="0" fontId="29" fillId="7" borderId="1" xfId="0" applyFont="1" applyFill="1" applyBorder="1"/>
    <xf numFmtId="177" fontId="0" fillId="5" borderId="73" xfId="0" applyNumberFormat="1" applyFill="1" applyBorder="1" applyAlignment="1" applyProtection="1">
      <alignment horizontal="right" vertical="center"/>
      <protection hidden="1"/>
    </xf>
    <xf numFmtId="0" fontId="33" fillId="0" borderId="0" xfId="0" applyFont="1"/>
    <xf numFmtId="0" fontId="21" fillId="0" borderId="0" xfId="0" applyFont="1"/>
    <xf numFmtId="0" fontId="3" fillId="18" borderId="0" xfId="0" applyFont="1" applyFill="1"/>
    <xf numFmtId="0" fontId="3" fillId="24" borderId="0" xfId="0" applyFont="1" applyFill="1"/>
    <xf numFmtId="0" fontId="63" fillId="0" borderId="2" xfId="0" applyFont="1" applyBorder="1" applyAlignment="1">
      <alignment horizontal="center" vertical="center"/>
    </xf>
    <xf numFmtId="0" fontId="63" fillId="0" borderId="27" xfId="0" applyFont="1" applyBorder="1" applyAlignment="1">
      <alignment horizontal="center" vertical="center"/>
    </xf>
    <xf numFmtId="0" fontId="63" fillId="0" borderId="0" xfId="0" applyFont="1" applyAlignment="1">
      <alignment vertical="center"/>
    </xf>
    <xf numFmtId="0" fontId="64" fillId="0" borderId="0" xfId="0" applyFont="1"/>
    <xf numFmtId="0" fontId="63" fillId="0" borderId="0" xfId="0" applyFont="1"/>
    <xf numFmtId="0" fontId="0" fillId="0" borderId="74" xfId="0" applyBorder="1" applyAlignment="1">
      <alignment vertical="center"/>
    </xf>
    <xf numFmtId="0" fontId="28" fillId="0" borderId="75" xfId="0" applyFont="1"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0" fillId="0" borderId="0" xfId="0" applyAlignment="1">
      <alignment vertical="center"/>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67" fillId="0" borderId="2" xfId="0" applyFont="1" applyBorder="1" applyAlignment="1">
      <alignment horizontal="center" vertical="center"/>
    </xf>
    <xf numFmtId="0" fontId="63" fillId="0" borderId="8" xfId="0" applyFont="1" applyBorder="1" applyAlignment="1">
      <alignment horizontal="center" vertical="center"/>
    </xf>
    <xf numFmtId="0" fontId="67" fillId="0" borderId="8" xfId="0" applyFont="1" applyBorder="1" applyAlignment="1">
      <alignment horizontal="center" vertical="center"/>
    </xf>
    <xf numFmtId="0" fontId="63" fillId="0" borderId="16" xfId="0" applyFont="1" applyBorder="1" applyAlignment="1">
      <alignment vertical="center"/>
    </xf>
    <xf numFmtId="0" fontId="70" fillId="0" borderId="16" xfId="0" applyFont="1" applyBorder="1" applyAlignment="1">
      <alignment vertical="center"/>
    </xf>
    <xf numFmtId="0" fontId="0" fillId="0" borderId="83" xfId="0" applyBorder="1" applyAlignment="1">
      <alignment vertical="center"/>
    </xf>
    <xf numFmtId="0" fontId="70" fillId="0" borderId="0" xfId="0" applyFont="1" applyAlignment="1">
      <alignment vertical="center"/>
    </xf>
    <xf numFmtId="0" fontId="27" fillId="0" borderId="0" xfId="0" applyFont="1" applyAlignment="1">
      <alignment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87" xfId="0"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0" fillId="0" borderId="90" xfId="0" applyBorder="1" applyAlignment="1">
      <alignment vertical="center"/>
    </xf>
    <xf numFmtId="0" fontId="0" fillId="0" borderId="91" xfId="0" applyBorder="1" applyAlignment="1">
      <alignment vertical="center"/>
    </xf>
    <xf numFmtId="0" fontId="33" fillId="0" borderId="53" xfId="0" applyFont="1" applyBorder="1"/>
    <xf numFmtId="0" fontId="92" fillId="18" borderId="0" xfId="0" applyFont="1" applyFill="1"/>
    <xf numFmtId="0" fontId="29" fillId="5" borderId="14" xfId="0" applyFont="1" applyFill="1" applyBorder="1" applyAlignment="1" applyProtection="1">
      <alignment horizontal="center" vertical="center"/>
      <protection hidden="1"/>
    </xf>
    <xf numFmtId="0" fontId="35" fillId="5" borderId="14" xfId="0" applyFont="1" applyFill="1" applyBorder="1" applyAlignment="1" applyProtection="1">
      <alignment horizontal="center" vertical="center"/>
      <protection hidden="1"/>
    </xf>
    <xf numFmtId="0" fontId="63" fillId="29" borderId="14" xfId="0" applyFont="1" applyFill="1" applyBorder="1" applyAlignment="1" applyProtection="1">
      <alignment vertical="center"/>
      <protection hidden="1"/>
    </xf>
    <xf numFmtId="0" fontId="29" fillId="29" borderId="14" xfId="0" applyFont="1" applyFill="1" applyBorder="1" applyAlignment="1" applyProtection="1">
      <alignment horizontal="center" vertical="center"/>
      <protection hidden="1"/>
    </xf>
    <xf numFmtId="0" fontId="35" fillId="29" borderId="14" xfId="0" applyFont="1" applyFill="1" applyBorder="1" applyAlignment="1" applyProtection="1">
      <alignment horizontal="center" vertical="center"/>
      <protection hidden="1"/>
    </xf>
    <xf numFmtId="0" fontId="0" fillId="7" borderId="0" xfId="0" applyFill="1"/>
    <xf numFmtId="0" fontId="29" fillId="30" borderId="0" xfId="0" applyFont="1" applyFill="1"/>
    <xf numFmtId="0" fontId="40" fillId="7" borderId="0" xfId="2" applyFont="1" applyFill="1">
      <alignment vertical="center"/>
    </xf>
    <xf numFmtId="0" fontId="67" fillId="0" borderId="2" xfId="0" applyFont="1" applyBorder="1" applyAlignment="1" applyProtection="1">
      <alignment horizontal="center" vertical="center"/>
      <protection hidden="1"/>
    </xf>
    <xf numFmtId="0" fontId="63" fillId="0" borderId="27" xfId="0" applyFont="1" applyBorder="1" applyAlignment="1" applyProtection="1">
      <alignment horizontal="right" vertical="center"/>
      <protection hidden="1"/>
    </xf>
    <xf numFmtId="0" fontId="63" fillId="0" borderId="10" xfId="0" applyFont="1" applyBorder="1" applyAlignment="1" applyProtection="1">
      <alignment horizontal="center" vertical="center"/>
      <protection hidden="1"/>
    </xf>
    <xf numFmtId="0" fontId="63" fillId="0" borderId="27" xfId="0" applyFont="1" applyBorder="1" applyAlignment="1" applyProtection="1">
      <alignment horizontal="center" vertical="center"/>
      <protection hidden="1"/>
    </xf>
    <xf numFmtId="0" fontId="63" fillId="0" borderId="17" xfId="0" applyFont="1" applyBorder="1" applyAlignment="1" applyProtection="1">
      <alignment horizontal="right" vertical="center"/>
      <protection hidden="1"/>
    </xf>
    <xf numFmtId="0" fontId="0" fillId="0" borderId="221" xfId="0" applyBorder="1" applyAlignment="1">
      <alignment vertical="center"/>
    </xf>
    <xf numFmtId="0" fontId="0" fillId="0" borderId="222" xfId="0" applyBorder="1" applyAlignment="1">
      <alignment vertical="center"/>
    </xf>
    <xf numFmtId="0" fontId="0" fillId="0" borderId="223" xfId="0" applyBorder="1" applyAlignment="1">
      <alignment vertical="center"/>
    </xf>
    <xf numFmtId="0" fontId="0" fillId="0" borderId="224" xfId="0" applyBorder="1" applyAlignment="1">
      <alignment vertical="center"/>
    </xf>
    <xf numFmtId="0" fontId="105" fillId="31" borderId="0" xfId="3" applyFont="1" applyFill="1">
      <alignment vertical="center"/>
    </xf>
    <xf numFmtId="0" fontId="107" fillId="32" borderId="28" xfId="3" applyFont="1" applyFill="1" applyBorder="1" applyAlignment="1">
      <alignment horizontal="center" vertical="center" shrinkToFit="1"/>
    </xf>
    <xf numFmtId="0" fontId="105" fillId="32" borderId="78" xfId="3" applyFont="1" applyFill="1" applyBorder="1" applyAlignment="1">
      <alignment horizontal="center" vertical="center"/>
    </xf>
    <xf numFmtId="0" fontId="109" fillId="32" borderId="6" xfId="3" applyFont="1" applyFill="1" applyBorder="1" applyAlignment="1">
      <alignment horizontal="center" vertical="center" wrapText="1"/>
    </xf>
    <xf numFmtId="0" fontId="105" fillId="32" borderId="225" xfId="3" applyFont="1" applyFill="1" applyBorder="1">
      <alignment vertical="center"/>
    </xf>
    <xf numFmtId="0" fontId="111" fillId="32" borderId="6" xfId="3" applyFont="1" applyFill="1" applyBorder="1" applyAlignment="1">
      <alignment horizontal="center" vertical="center" wrapText="1"/>
    </xf>
    <xf numFmtId="0" fontId="108" fillId="32" borderId="1" xfId="3" applyFont="1" applyFill="1" applyBorder="1" applyAlignment="1">
      <alignment horizontal="center" vertical="center"/>
    </xf>
    <xf numFmtId="0" fontId="108" fillId="32" borderId="65" xfId="3" applyFont="1" applyFill="1" applyBorder="1" applyAlignment="1">
      <alignment horizontal="center" vertical="center"/>
    </xf>
    <xf numFmtId="0" fontId="105" fillId="32" borderId="39" xfId="3" applyFont="1" applyFill="1" applyBorder="1" applyAlignment="1">
      <alignment horizontal="center" vertical="center"/>
    </xf>
    <xf numFmtId="0" fontId="105" fillId="31" borderId="1" xfId="3" applyFont="1" applyFill="1" applyBorder="1" applyAlignment="1">
      <alignment horizontal="center" vertical="center"/>
    </xf>
    <xf numFmtId="0" fontId="105" fillId="32" borderId="40" xfId="3" applyFont="1" applyFill="1" applyBorder="1" applyAlignment="1">
      <alignment horizontal="center" vertical="center"/>
    </xf>
    <xf numFmtId="0" fontId="105" fillId="31" borderId="37" xfId="3" applyFont="1" applyFill="1" applyBorder="1" applyAlignment="1">
      <alignment horizontal="center" vertical="center"/>
    </xf>
    <xf numFmtId="0" fontId="108" fillId="31" borderId="0" xfId="3" applyFont="1" applyFill="1">
      <alignment vertical="center"/>
    </xf>
    <xf numFmtId="0" fontId="113" fillId="31" borderId="1" xfId="3" applyFont="1" applyFill="1" applyBorder="1" applyAlignment="1" applyProtection="1">
      <alignment horizontal="center" vertical="center"/>
      <protection hidden="1"/>
    </xf>
    <xf numFmtId="0" fontId="113" fillId="31" borderId="65" xfId="3" applyFont="1" applyFill="1" applyBorder="1" applyAlignment="1" applyProtection="1">
      <alignment horizontal="center" vertical="center"/>
      <protection hidden="1"/>
    </xf>
    <xf numFmtId="0" fontId="113" fillId="31" borderId="37" xfId="3" applyFont="1" applyFill="1" applyBorder="1" applyAlignment="1" applyProtection="1">
      <alignment horizontal="center" vertical="center"/>
      <protection hidden="1"/>
    </xf>
    <xf numFmtId="0" fontId="113" fillId="31" borderId="73" xfId="3" applyFont="1" applyFill="1" applyBorder="1" applyAlignment="1" applyProtection="1">
      <alignment horizontal="center" vertical="center"/>
      <protection hidden="1"/>
    </xf>
    <xf numFmtId="0" fontId="113" fillId="0" borderId="1" xfId="3" applyFont="1" applyBorder="1" applyAlignment="1" applyProtection="1">
      <alignment horizontal="center" vertical="center" shrinkToFit="1"/>
      <protection hidden="1"/>
    </xf>
    <xf numFmtId="0" fontId="113" fillId="0" borderId="1" xfId="3" quotePrefix="1" applyFont="1" applyBorder="1" applyAlignment="1" applyProtection="1">
      <alignment horizontal="center" vertical="center" shrinkToFit="1"/>
      <protection hidden="1"/>
    </xf>
    <xf numFmtId="0" fontId="113" fillId="0" borderId="37" xfId="3" applyFont="1" applyBorder="1" applyAlignment="1" applyProtection="1">
      <alignment horizontal="center" vertical="center" shrinkToFit="1"/>
      <protection hidden="1"/>
    </xf>
    <xf numFmtId="0" fontId="113" fillId="31" borderId="1" xfId="3" applyFont="1" applyFill="1" applyBorder="1" applyAlignment="1" applyProtection="1">
      <alignment horizontal="center" vertical="center" shrinkToFit="1"/>
      <protection locked="0"/>
    </xf>
    <xf numFmtId="0" fontId="113" fillId="31" borderId="37" xfId="3" applyFont="1" applyFill="1" applyBorder="1" applyAlignment="1" applyProtection="1">
      <alignment horizontal="center" vertical="center" shrinkToFit="1"/>
      <protection locked="0"/>
    </xf>
    <xf numFmtId="0" fontId="0" fillId="33" borderId="0" xfId="0" applyFill="1"/>
    <xf numFmtId="0" fontId="0" fillId="33" borderId="3" xfId="0" applyFill="1" applyBorder="1" applyAlignment="1">
      <alignment horizontal="center" vertical="center"/>
    </xf>
    <xf numFmtId="0" fontId="0" fillId="0" borderId="0" xfId="0" applyAlignment="1" applyProtection="1">
      <alignment horizontal="right" vertical="center"/>
      <protection hidden="1"/>
    </xf>
    <xf numFmtId="0" fontId="48" fillId="0" borderId="18" xfId="0" applyFont="1" applyBorder="1" applyAlignment="1" applyProtection="1">
      <alignment horizontal="center" vertical="center"/>
      <protection hidden="1"/>
    </xf>
    <xf numFmtId="0" fontId="48" fillId="0" borderId="19" xfId="0" applyFont="1" applyBorder="1" applyAlignment="1" applyProtection="1">
      <alignment horizontal="center" vertical="center"/>
      <protection hidden="1"/>
    </xf>
    <xf numFmtId="0" fontId="40" fillId="0" borderId="20" xfId="0" applyFont="1" applyBorder="1" applyAlignment="1" applyProtection="1">
      <alignment horizontal="center" vertical="center"/>
      <protection hidden="1"/>
    </xf>
    <xf numFmtId="176" fontId="40" fillId="0" borderId="56" xfId="0" applyNumberFormat="1" applyFont="1" applyBorder="1" applyAlignment="1" applyProtection="1">
      <alignment horizontal="center" vertical="center"/>
      <protection hidden="1"/>
    </xf>
    <xf numFmtId="0" fontId="48" fillId="0" borderId="21" xfId="0" applyFont="1" applyBorder="1" applyAlignment="1" applyProtection="1">
      <alignment horizontal="center" vertical="center"/>
      <protection hidden="1"/>
    </xf>
    <xf numFmtId="0" fontId="48" fillId="0" borderId="22" xfId="0" applyFont="1" applyBorder="1" applyAlignment="1" applyProtection="1">
      <alignment horizontal="center" vertical="center"/>
      <protection hidden="1"/>
    </xf>
    <xf numFmtId="0" fontId="40" fillId="0" borderId="23" xfId="0" applyFont="1" applyBorder="1" applyAlignment="1" applyProtection="1">
      <alignment horizontal="center" vertical="center"/>
      <protection hidden="1"/>
    </xf>
    <xf numFmtId="176" fontId="40" fillId="0" borderId="57" xfId="0" applyNumberFormat="1" applyFont="1" applyBorder="1" applyAlignment="1" applyProtection="1">
      <alignment horizontal="center" vertical="center"/>
      <protection hidden="1"/>
    </xf>
    <xf numFmtId="0" fontId="48" fillId="0" borderId="24" xfId="0" applyFont="1" applyBorder="1" applyAlignment="1" applyProtection="1">
      <alignment horizontal="center" vertical="center"/>
      <protection hidden="1"/>
    </xf>
    <xf numFmtId="0" fontId="48" fillId="0" borderId="25" xfId="0" applyFont="1" applyBorder="1" applyAlignment="1" applyProtection="1">
      <alignment horizontal="center" vertical="center"/>
      <protection hidden="1"/>
    </xf>
    <xf numFmtId="0" fontId="40" fillId="0" borderId="26" xfId="0" applyFont="1" applyBorder="1" applyAlignment="1" applyProtection="1">
      <alignment horizontal="center" vertical="center"/>
      <protection hidden="1"/>
    </xf>
    <xf numFmtId="176" fontId="40" fillId="0" borderId="58" xfId="0" applyNumberFormat="1" applyFont="1" applyBorder="1" applyAlignment="1" applyProtection="1">
      <alignment horizontal="center" vertical="center"/>
      <protection hidden="1"/>
    </xf>
    <xf numFmtId="0" fontId="35" fillId="6" borderId="29" xfId="0" applyFont="1" applyFill="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44" xfId="0" applyFont="1" applyBorder="1" applyAlignment="1">
      <alignment horizontal="left" vertical="center"/>
    </xf>
    <xf numFmtId="0" fontId="6" fillId="0" borderId="0" xfId="0" applyFont="1" applyAlignment="1">
      <alignment horizontal="left" vertical="center"/>
    </xf>
    <xf numFmtId="0" fontId="6" fillId="0" borderId="45" xfId="0" applyFont="1" applyBorder="1" applyAlignment="1">
      <alignment horizontal="left" vertical="center"/>
    </xf>
    <xf numFmtId="0" fontId="6" fillId="0" borderId="8"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left" vertical="center"/>
    </xf>
    <xf numFmtId="0" fontId="6" fillId="0" borderId="10" xfId="0" applyFont="1" applyBorder="1" applyAlignment="1">
      <alignment horizontal="left" vertical="center"/>
    </xf>
    <xf numFmtId="0" fontId="6" fillId="0" borderId="27" xfId="0" applyFont="1" applyBorder="1" applyAlignment="1">
      <alignment horizontal="left" vertical="center"/>
    </xf>
    <xf numFmtId="0" fontId="6" fillId="0" borderId="6" xfId="0" applyFont="1"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6" fillId="0" borderId="2" xfId="0" applyFont="1" applyBorder="1" applyAlignment="1">
      <alignment horizontal="center" vertical="center"/>
    </xf>
    <xf numFmtId="0" fontId="0" fillId="0" borderId="10" xfId="0" applyBorder="1" applyAlignment="1">
      <alignment horizontal="center" vertical="center"/>
    </xf>
    <xf numFmtId="0" fontId="0" fillId="0" borderId="27" xfId="0" applyBorder="1" applyAlignment="1">
      <alignment horizontal="center" vertical="center"/>
    </xf>
    <xf numFmtId="0" fontId="6" fillId="0" borderId="2" xfId="0" applyFont="1" applyBorder="1" applyAlignment="1">
      <alignment vertical="center"/>
    </xf>
    <xf numFmtId="0" fontId="6" fillId="0" borderId="10" xfId="0" applyFont="1" applyBorder="1" applyAlignment="1">
      <alignment vertical="center"/>
    </xf>
    <xf numFmtId="0" fontId="6" fillId="0" borderId="27" xfId="0" applyFont="1" applyBorder="1" applyAlignment="1">
      <alignment vertical="center"/>
    </xf>
    <xf numFmtId="0" fontId="6" fillId="0" borderId="10" xfId="0" applyFont="1" applyBorder="1" applyAlignment="1">
      <alignment horizontal="center" vertical="center"/>
    </xf>
    <xf numFmtId="0" fontId="6" fillId="0" borderId="27" xfId="0" applyFont="1" applyBorder="1" applyAlignment="1">
      <alignment horizontal="center" vertical="center"/>
    </xf>
    <xf numFmtId="0" fontId="94" fillId="0" borderId="1" xfId="0" applyFont="1" applyBorder="1" applyAlignment="1">
      <alignment horizontal="left"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0" xfId="0" applyFont="1" applyAlignment="1">
      <alignment horizontal="center" vertical="center"/>
    </xf>
    <xf numFmtId="0" fontId="6" fillId="0" borderId="45" xfId="0" applyFont="1" applyBorder="1" applyAlignment="1">
      <alignment horizontal="center" vertical="center"/>
    </xf>
    <xf numFmtId="0" fontId="6" fillId="0" borderId="8"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55" xfId="0" applyFont="1" applyBorder="1" applyAlignment="1">
      <alignment horizontal="left" vertical="center"/>
    </xf>
    <xf numFmtId="0" fontId="71" fillId="0" borderId="8" xfId="0" applyFont="1" applyBorder="1" applyAlignment="1">
      <alignment horizontal="left" vertical="center"/>
    </xf>
    <xf numFmtId="0" fontId="71" fillId="0" borderId="16" xfId="0" applyFont="1" applyBorder="1" applyAlignment="1">
      <alignment horizontal="left" vertical="center"/>
    </xf>
    <xf numFmtId="0" fontId="71" fillId="0" borderId="17" xfId="0" applyFont="1" applyBorder="1" applyAlignment="1">
      <alignment horizontal="left" vertical="center"/>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3" xfId="0" applyFont="1" applyBorder="1" applyAlignment="1">
      <alignment horizontal="center" vertical="center"/>
    </xf>
    <xf numFmtId="0" fontId="6" fillId="2" borderId="13" xfId="0" applyFont="1" applyFill="1" applyBorder="1" applyAlignment="1">
      <alignment horizontal="left" vertical="top"/>
    </xf>
    <xf numFmtId="0" fontId="6" fillId="2" borderId="14" xfId="0" applyFont="1" applyFill="1" applyBorder="1" applyAlignment="1">
      <alignment horizontal="left" vertical="top"/>
    </xf>
    <xf numFmtId="0" fontId="6" fillId="2" borderId="15" xfId="0" applyFont="1" applyFill="1" applyBorder="1" applyAlignment="1">
      <alignment horizontal="left" vertical="top"/>
    </xf>
    <xf numFmtId="0" fontId="94" fillId="2" borderId="2" xfId="0" applyFont="1" applyFill="1" applyBorder="1" applyAlignment="1">
      <alignment horizontal="left" vertical="center"/>
    </xf>
    <xf numFmtId="0" fontId="6" fillId="2" borderId="10" xfId="0" applyFont="1" applyFill="1" applyBorder="1" applyAlignment="1">
      <alignment horizontal="left" vertical="center"/>
    </xf>
    <xf numFmtId="0" fontId="6" fillId="2" borderId="27" xfId="0" applyFont="1" applyFill="1" applyBorder="1" applyAlignment="1">
      <alignment horizontal="left" vertical="center"/>
    </xf>
    <xf numFmtId="0" fontId="11" fillId="2" borderId="2" xfId="0" applyFont="1" applyFill="1" applyBorder="1" applyAlignment="1">
      <alignment horizontal="left" vertical="center" shrinkToFit="1"/>
    </xf>
    <xf numFmtId="0" fontId="11" fillId="2" borderId="10" xfId="0" applyFont="1" applyFill="1" applyBorder="1" applyAlignment="1">
      <alignment horizontal="left" vertical="center" shrinkToFit="1"/>
    </xf>
    <xf numFmtId="0" fontId="11" fillId="2" borderId="27" xfId="0" applyFont="1" applyFill="1" applyBorder="1" applyAlignment="1">
      <alignment horizontal="left" vertical="center" shrinkToFit="1"/>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71" xfId="0" applyFont="1" applyBorder="1" applyAlignment="1">
      <alignment horizontal="left" vertical="center" justifyLastLine="1"/>
    </xf>
    <xf numFmtId="0" fontId="6" fillId="0" borderId="57" xfId="0" applyFont="1" applyBorder="1" applyAlignment="1">
      <alignment horizontal="left" vertical="center" justifyLastLine="1"/>
    </xf>
    <xf numFmtId="0" fontId="6" fillId="0" borderId="72" xfId="0" applyFont="1" applyBorder="1" applyAlignment="1">
      <alignment horizontal="left" vertical="center" justifyLastLine="1"/>
    </xf>
    <xf numFmtId="0" fontId="6" fillId="0" borderId="58" xfId="0" applyFont="1" applyBorder="1" applyAlignment="1">
      <alignment horizontal="left" vertical="center" justifyLastLine="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27" xfId="0" applyFont="1" applyFill="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4"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94" xfId="0" applyFont="1" applyBorder="1" applyAlignment="1">
      <alignment vertical="center"/>
    </xf>
    <xf numFmtId="0" fontId="6" fillId="0" borderId="95" xfId="0" applyFont="1" applyBorder="1" applyAlignment="1">
      <alignment vertical="center"/>
    </xf>
    <xf numFmtId="0" fontId="6" fillId="0" borderId="96" xfId="0" applyFont="1" applyBorder="1" applyAlignment="1">
      <alignment vertical="center"/>
    </xf>
    <xf numFmtId="0" fontId="6" fillId="0" borderId="56" xfId="0" applyFont="1" applyBorder="1" applyAlignment="1">
      <alignment horizontal="left" vertical="center"/>
    </xf>
    <xf numFmtId="0" fontId="6" fillId="0" borderId="58" xfId="0" applyFont="1"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46" fillId="25" borderId="92" xfId="0" applyFont="1" applyFill="1" applyBorder="1" applyAlignment="1">
      <alignment horizontal="center" vertical="center"/>
    </xf>
    <xf numFmtId="0" fontId="46" fillId="25" borderId="93" xfId="0" applyFont="1" applyFill="1" applyBorder="1" applyAlignment="1">
      <alignment horizontal="center" vertical="center"/>
    </xf>
    <xf numFmtId="0" fontId="46" fillId="25" borderId="64" xfId="0" applyFont="1" applyFill="1" applyBorder="1" applyAlignment="1">
      <alignment horizontal="center" vertical="center"/>
    </xf>
    <xf numFmtId="0" fontId="6" fillId="0" borderId="21" xfId="0" applyFont="1" applyBorder="1" applyAlignment="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59" xfId="0" applyFont="1" applyBorder="1" applyAlignment="1">
      <alignment horizontal="left" vertical="center"/>
    </xf>
    <xf numFmtId="0" fontId="0" fillId="0" borderId="59" xfId="0" applyBorder="1" applyAlignment="1">
      <alignment horizontal="left" vertical="center"/>
    </xf>
    <xf numFmtId="0" fontId="3" fillId="0" borderId="0" xfId="0" applyFont="1" applyAlignment="1">
      <alignment horizontal="right" vertical="center"/>
    </xf>
    <xf numFmtId="0" fontId="74" fillId="7" borderId="0" xfId="0" applyFont="1" applyFill="1" applyAlignment="1">
      <alignment horizontal="left" vertical="center"/>
    </xf>
    <xf numFmtId="0" fontId="6" fillId="5" borderId="2"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27" xfId="0" applyFont="1" applyFill="1" applyBorder="1" applyAlignment="1">
      <alignment horizontal="center" vertical="center"/>
    </xf>
    <xf numFmtId="0" fontId="73" fillId="0" borderId="44" xfId="0" applyFont="1" applyBorder="1" applyAlignment="1">
      <alignment horizontal="right" vertical="center"/>
    </xf>
    <xf numFmtId="0" fontId="73" fillId="0" borderId="0" xfId="0" applyFont="1" applyAlignment="1">
      <alignment horizontal="right" vertical="center"/>
    </xf>
    <xf numFmtId="0" fontId="73" fillId="0" borderId="45" xfId="0" applyFont="1" applyBorder="1" applyAlignment="1">
      <alignment horizontal="right"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72" fillId="0" borderId="0" xfId="1" applyFont="1" applyFill="1" applyBorder="1" applyAlignment="1" applyProtection="1">
      <alignment horizontal="left" vertical="center"/>
      <protection locked="0"/>
    </xf>
    <xf numFmtId="0" fontId="6" fillId="5" borderId="2" xfId="0" applyFont="1" applyFill="1" applyBorder="1" applyAlignment="1">
      <alignment horizontal="center"/>
    </xf>
    <xf numFmtId="0" fontId="6" fillId="5" borderId="10" xfId="0" applyFont="1" applyFill="1" applyBorder="1" applyAlignment="1">
      <alignment horizontal="center"/>
    </xf>
    <xf numFmtId="0" fontId="6" fillId="5" borderId="27" xfId="0" applyFont="1" applyFill="1" applyBorder="1" applyAlignment="1">
      <alignment horizontal="center"/>
    </xf>
    <xf numFmtId="0" fontId="73" fillId="0" borderId="8" xfId="0" applyFont="1" applyBorder="1" applyAlignment="1">
      <alignment horizontal="right" vertical="center"/>
    </xf>
    <xf numFmtId="0" fontId="73" fillId="0" borderId="16" xfId="0" applyFont="1" applyBorder="1" applyAlignment="1">
      <alignment horizontal="right" vertical="center"/>
    </xf>
    <xf numFmtId="0" fontId="73" fillId="0" borderId="17" xfId="0" applyFont="1" applyBorder="1" applyAlignment="1">
      <alignment horizontal="right" vertical="center"/>
    </xf>
    <xf numFmtId="0" fontId="6" fillId="2" borderId="2" xfId="0" applyFont="1" applyFill="1" applyBorder="1" applyAlignment="1">
      <alignment horizontal="left" vertical="center"/>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7" fillId="23" borderId="100" xfId="2" applyFont="1" applyFill="1" applyBorder="1" applyAlignment="1">
      <alignment horizontal="center" vertical="center"/>
    </xf>
    <xf numFmtId="0" fontId="47" fillId="23" borderId="101" xfId="2" applyFont="1" applyFill="1" applyBorder="1" applyAlignment="1">
      <alignment horizontal="center" vertical="center"/>
    </xf>
    <xf numFmtId="0" fontId="47" fillId="23" borderId="102" xfId="2" applyFont="1" applyFill="1" applyBorder="1" applyAlignment="1">
      <alignment horizontal="center" vertical="center"/>
    </xf>
    <xf numFmtId="0" fontId="47" fillId="23" borderId="97" xfId="2" applyFont="1" applyFill="1" applyBorder="1" applyAlignment="1">
      <alignment horizontal="center" vertical="center" shrinkToFit="1"/>
    </xf>
    <xf numFmtId="0" fontId="47" fillId="23" borderId="98" xfId="2" applyFont="1" applyFill="1" applyBorder="1" applyAlignment="1">
      <alignment horizontal="center" vertical="center" shrinkToFit="1"/>
    </xf>
    <xf numFmtId="0" fontId="47" fillId="23" borderId="99" xfId="2" applyFont="1" applyFill="1" applyBorder="1" applyAlignment="1">
      <alignment horizontal="center" vertical="center" shrinkToFit="1"/>
    </xf>
    <xf numFmtId="0" fontId="11" fillId="23" borderId="24" xfId="2" applyFont="1" applyFill="1" applyBorder="1" applyAlignment="1">
      <alignment horizontal="distributed" vertical="center" justifyLastLine="1"/>
    </xf>
    <xf numFmtId="0" fontId="11" fillId="23" borderId="25" xfId="2" applyFont="1" applyFill="1" applyBorder="1" applyAlignment="1">
      <alignment horizontal="distributed" vertical="center" justifyLastLine="1"/>
    </xf>
    <xf numFmtId="0" fontId="40" fillId="23" borderId="46" xfId="2" applyFont="1" applyFill="1" applyBorder="1" applyAlignment="1">
      <alignment horizontal="distributed" vertical="center" justifyLastLine="1"/>
    </xf>
    <xf numFmtId="0" fontId="40" fillId="23" borderId="103" xfId="2" applyFont="1" applyFill="1" applyBorder="1" applyAlignment="1">
      <alignment horizontal="distributed" vertical="center" justifyLastLine="1"/>
    </xf>
    <xf numFmtId="0" fontId="40" fillId="23" borderId="104" xfId="2" applyFont="1" applyFill="1" applyBorder="1" applyAlignment="1">
      <alignment horizontal="distributed" vertical="center" justifyLastLine="1"/>
    </xf>
    <xf numFmtId="49" fontId="68" fillId="26" borderId="105" xfId="0" applyNumberFormat="1" applyFont="1" applyFill="1" applyBorder="1" applyAlignment="1" applyProtection="1">
      <alignment horizontal="center" vertical="center" shrinkToFit="1"/>
      <protection locked="0"/>
    </xf>
    <xf numFmtId="49" fontId="68" fillId="26" borderId="104" xfId="0" applyNumberFormat="1" applyFont="1" applyFill="1" applyBorder="1" applyAlignment="1" applyProtection="1">
      <alignment horizontal="center" vertical="center" shrinkToFit="1"/>
      <protection locked="0"/>
    </xf>
    <xf numFmtId="49" fontId="68" fillId="26" borderId="46" xfId="2" applyNumberFormat="1" applyFont="1" applyFill="1" applyBorder="1" applyAlignment="1" applyProtection="1">
      <alignment horizontal="center" vertical="center" shrinkToFit="1"/>
      <protection locked="0"/>
    </xf>
    <xf numFmtId="49" fontId="68" fillId="26" borderId="103" xfId="2" applyNumberFormat="1" applyFont="1" applyFill="1" applyBorder="1" applyAlignment="1" applyProtection="1">
      <alignment horizontal="center" vertical="center" shrinkToFit="1"/>
      <protection locked="0"/>
    </xf>
    <xf numFmtId="49" fontId="68" fillId="26" borderId="106" xfId="2" applyNumberFormat="1" applyFont="1" applyFill="1" applyBorder="1" applyAlignment="1" applyProtection="1">
      <alignment horizontal="center" vertical="center" shrinkToFit="1"/>
      <protection locked="0"/>
    </xf>
    <xf numFmtId="49" fontId="68" fillId="26" borderId="106" xfId="0" applyNumberFormat="1" applyFont="1" applyFill="1" applyBorder="1" applyAlignment="1" applyProtection="1">
      <alignment horizontal="center" vertical="center" shrinkToFit="1"/>
      <protection locked="0"/>
    </xf>
    <xf numFmtId="0" fontId="47" fillId="23" borderId="107" xfId="2" applyFont="1" applyFill="1" applyBorder="1" applyAlignment="1">
      <alignment horizontal="center" vertical="center"/>
    </xf>
    <xf numFmtId="0" fontId="47" fillId="23" borderId="108" xfId="2" applyFont="1" applyFill="1" applyBorder="1" applyAlignment="1">
      <alignment horizontal="center" vertical="center"/>
    </xf>
    <xf numFmtId="0" fontId="47" fillId="23" borderId="109" xfId="2" applyFont="1" applyFill="1" applyBorder="1" applyAlignment="1">
      <alignment horizontal="center" vertical="center"/>
    </xf>
    <xf numFmtId="0" fontId="47" fillId="23" borderId="110" xfId="2" applyFont="1" applyFill="1" applyBorder="1" applyAlignment="1">
      <alignment horizontal="center" vertical="center" shrinkToFit="1"/>
    </xf>
    <xf numFmtId="0" fontId="47" fillId="23" borderId="101" xfId="2" applyFont="1" applyFill="1" applyBorder="1" applyAlignment="1">
      <alignment horizontal="center" vertical="center" shrinkToFit="1"/>
    </xf>
    <xf numFmtId="0" fontId="47" fillId="23" borderId="111" xfId="2" applyFont="1" applyFill="1" applyBorder="1" applyAlignment="1">
      <alignment horizontal="center" vertical="center" shrinkToFit="1"/>
    </xf>
    <xf numFmtId="49" fontId="68" fillId="26" borderId="19" xfId="0" applyNumberFormat="1" applyFont="1" applyFill="1" applyBorder="1" applyAlignment="1" applyProtection="1">
      <alignment horizontal="left" vertical="center" shrinkToFit="1"/>
      <protection locked="0"/>
    </xf>
    <xf numFmtId="49" fontId="68" fillId="26" borderId="20" xfId="0" applyNumberFormat="1" applyFont="1" applyFill="1" applyBorder="1" applyAlignment="1" applyProtection="1">
      <alignment horizontal="left" vertical="center" shrinkToFit="1"/>
      <protection locked="0"/>
    </xf>
    <xf numFmtId="49" fontId="68" fillId="26" borderId="107" xfId="2" applyNumberFormat="1" applyFont="1" applyFill="1" applyBorder="1" applyAlignment="1" applyProtection="1">
      <alignment horizontal="left" vertical="center" shrinkToFit="1"/>
      <protection locked="0"/>
    </xf>
    <xf numFmtId="49" fontId="68" fillId="26" borderId="108" xfId="0" applyNumberFormat="1" applyFont="1" applyFill="1" applyBorder="1" applyAlignment="1" applyProtection="1">
      <alignment horizontal="left" vertical="center" shrinkToFit="1"/>
      <protection locked="0"/>
    </xf>
    <xf numFmtId="49" fontId="68" fillId="26" borderId="109" xfId="0" applyNumberFormat="1" applyFont="1" applyFill="1" applyBorder="1" applyAlignment="1" applyProtection="1">
      <alignment horizontal="left" vertical="center" shrinkToFit="1"/>
      <protection locked="0"/>
    </xf>
    <xf numFmtId="186" fontId="101" fillId="23" borderId="116" xfId="2" applyNumberFormat="1" applyFont="1" applyFill="1" applyBorder="1" applyAlignment="1" applyProtection="1">
      <alignment horizontal="center" vertical="center"/>
      <protection hidden="1"/>
    </xf>
    <xf numFmtId="186" fontId="101" fillId="23" borderId="117" xfId="2" applyNumberFormat="1" applyFont="1" applyFill="1" applyBorder="1" applyAlignment="1" applyProtection="1">
      <alignment horizontal="center" vertical="center"/>
      <protection hidden="1"/>
    </xf>
    <xf numFmtId="186" fontId="101" fillId="23" borderId="118" xfId="2" applyNumberFormat="1" applyFont="1" applyFill="1" applyBorder="1" applyAlignment="1" applyProtection="1">
      <alignment horizontal="center" vertical="center"/>
      <protection hidden="1"/>
    </xf>
    <xf numFmtId="186" fontId="101" fillId="23" borderId="119" xfId="2" applyNumberFormat="1" applyFont="1" applyFill="1" applyBorder="1" applyAlignment="1" applyProtection="1">
      <alignment horizontal="center" vertical="center"/>
      <protection hidden="1"/>
    </xf>
    <xf numFmtId="186" fontId="101" fillId="23" borderId="120" xfId="2" applyNumberFormat="1" applyFont="1" applyFill="1" applyBorder="1" applyAlignment="1" applyProtection="1">
      <alignment horizontal="center" vertical="center"/>
      <protection hidden="1"/>
    </xf>
    <xf numFmtId="186" fontId="101" fillId="23" borderId="121" xfId="2" applyNumberFormat="1" applyFont="1" applyFill="1" applyBorder="1" applyAlignment="1" applyProtection="1">
      <alignment horizontal="center" vertical="center"/>
      <protection hidden="1"/>
    </xf>
    <xf numFmtId="186" fontId="101" fillId="23" borderId="174" xfId="2" applyNumberFormat="1" applyFont="1" applyFill="1" applyBorder="1" applyAlignment="1" applyProtection="1">
      <alignment horizontal="center" vertical="center"/>
      <protection hidden="1"/>
    </xf>
    <xf numFmtId="186" fontId="101" fillId="23" borderId="28" xfId="2" applyNumberFormat="1" applyFont="1" applyFill="1" applyBorder="1" applyAlignment="1" applyProtection="1">
      <alignment horizontal="center" vertical="center"/>
      <protection hidden="1"/>
    </xf>
    <xf numFmtId="186" fontId="101" fillId="23" borderId="31" xfId="2" applyNumberFormat="1" applyFont="1" applyFill="1" applyBorder="1" applyAlignment="1" applyProtection="1">
      <alignment horizontal="center" vertical="center"/>
      <protection hidden="1"/>
    </xf>
    <xf numFmtId="49" fontId="68" fillId="26" borderId="189" xfId="0" applyNumberFormat="1" applyFont="1" applyFill="1" applyBorder="1" applyAlignment="1" applyProtection="1">
      <alignment horizontal="center" vertical="center" shrinkToFit="1"/>
      <protection locked="0"/>
    </xf>
    <xf numFmtId="0" fontId="99" fillId="23" borderId="126" xfId="2" applyFont="1" applyFill="1" applyBorder="1" applyAlignment="1" applyProtection="1">
      <alignment horizontal="distributed" vertical="center" justifyLastLine="1"/>
      <protection hidden="1"/>
    </xf>
    <xf numFmtId="0" fontId="99" fillId="23" borderId="75" xfId="2" applyFont="1" applyFill="1" applyBorder="1" applyAlignment="1" applyProtection="1">
      <alignment horizontal="distributed" vertical="center" justifyLastLine="1"/>
      <protection hidden="1"/>
    </xf>
    <xf numFmtId="0" fontId="99" fillId="23" borderId="77" xfId="2" applyFont="1" applyFill="1" applyBorder="1" applyAlignment="1" applyProtection="1">
      <alignment horizontal="distributed" vertical="center" justifyLastLine="1"/>
      <protection hidden="1"/>
    </xf>
    <xf numFmtId="0" fontId="99" fillId="23" borderId="127" xfId="2" applyFont="1" applyFill="1" applyBorder="1" applyAlignment="1" applyProtection="1">
      <alignment horizontal="distributed" vertical="center" justifyLastLine="1"/>
      <protection hidden="1"/>
    </xf>
    <xf numFmtId="0" fontId="99" fillId="23" borderId="53" xfId="2" applyFont="1" applyFill="1" applyBorder="1" applyAlignment="1" applyProtection="1">
      <alignment horizontal="distributed" vertical="center" justifyLastLine="1"/>
      <protection hidden="1"/>
    </xf>
    <xf numFmtId="0" fontId="99" fillId="23" borderId="190" xfId="2" applyFont="1" applyFill="1" applyBorder="1" applyAlignment="1" applyProtection="1">
      <alignment horizontal="distributed" vertical="center" justifyLastLine="1"/>
      <protection hidden="1"/>
    </xf>
    <xf numFmtId="186" fontId="101" fillId="23" borderId="6" xfId="2" applyNumberFormat="1" applyFont="1" applyFill="1" applyBorder="1" applyAlignment="1" applyProtection="1">
      <alignment horizontal="center" vertical="center"/>
      <protection hidden="1"/>
    </xf>
    <xf numFmtId="186" fontId="101" fillId="23" borderId="178" xfId="2" applyNumberFormat="1" applyFont="1" applyFill="1" applyBorder="1" applyAlignment="1" applyProtection="1">
      <alignment horizontal="center" vertical="center"/>
      <protection hidden="1"/>
    </xf>
    <xf numFmtId="186" fontId="101" fillId="23" borderId="104" xfId="2" applyNumberFormat="1" applyFont="1" applyFill="1" applyBorder="1" applyAlignment="1" applyProtection="1">
      <alignment horizontal="center" vertical="center"/>
      <protection hidden="1"/>
    </xf>
    <xf numFmtId="186" fontId="101" fillId="23" borderId="37" xfId="2" applyNumberFormat="1" applyFont="1" applyFill="1" applyBorder="1" applyAlignment="1" applyProtection="1">
      <alignment horizontal="center" vertical="center"/>
      <protection hidden="1"/>
    </xf>
    <xf numFmtId="186" fontId="101" fillId="23" borderId="73" xfId="2" applyNumberFormat="1" applyFont="1" applyFill="1" applyBorder="1" applyAlignment="1" applyProtection="1">
      <alignment horizontal="center" vertical="center"/>
      <protection hidden="1"/>
    </xf>
    <xf numFmtId="49" fontId="68" fillId="26" borderId="122" xfId="2" applyNumberFormat="1" applyFont="1" applyFill="1" applyBorder="1" applyAlignment="1" applyProtection="1">
      <alignment horizontal="right" vertical="center" shrinkToFit="1"/>
      <protection locked="0"/>
    </xf>
    <xf numFmtId="49" fontId="36" fillId="26" borderId="68" xfId="0" applyNumberFormat="1" applyFont="1" applyFill="1" applyBorder="1" applyAlignment="1" applyProtection="1">
      <alignment horizontal="right" vertical="center" shrinkToFit="1"/>
      <protection locked="0"/>
    </xf>
    <xf numFmtId="49" fontId="36" fillId="26" borderId="100" xfId="0" applyNumberFormat="1" applyFont="1" applyFill="1" applyBorder="1" applyAlignment="1" applyProtection="1">
      <alignment horizontal="right" vertical="center" shrinkToFit="1"/>
      <protection locked="0"/>
    </xf>
    <xf numFmtId="185" fontId="10" fillId="10" borderId="110" xfId="2" applyNumberFormat="1" applyFont="1" applyFill="1" applyBorder="1" applyAlignment="1" applyProtection="1">
      <alignment horizontal="center" vertical="center"/>
      <protection hidden="1"/>
    </xf>
    <xf numFmtId="0" fontId="0" fillId="10" borderId="101" xfId="0" applyFill="1" applyBorder="1" applyAlignment="1" applyProtection="1">
      <alignment horizontal="center" vertical="center"/>
      <protection hidden="1"/>
    </xf>
    <xf numFmtId="0" fontId="0" fillId="10" borderId="102" xfId="0" applyFill="1" applyBorder="1" applyAlignment="1" applyProtection="1">
      <alignment horizontal="center" vertical="center"/>
      <protection hidden="1"/>
    </xf>
    <xf numFmtId="182" fontId="68" fillId="26" borderId="123" xfId="2" applyNumberFormat="1" applyFont="1" applyFill="1" applyBorder="1" applyAlignment="1" applyProtection="1">
      <alignment horizontal="center" vertical="center"/>
      <protection locked="0"/>
    </xf>
    <xf numFmtId="182" fontId="68" fillId="26" borderId="124" xfId="2" applyNumberFormat="1" applyFont="1" applyFill="1" applyBorder="1" applyAlignment="1" applyProtection="1">
      <alignment horizontal="center" vertical="center"/>
      <protection locked="0"/>
    </xf>
    <xf numFmtId="182" fontId="68" fillId="26" borderId="125" xfId="2" applyNumberFormat="1" applyFont="1" applyFill="1" applyBorder="1" applyAlignment="1" applyProtection="1">
      <alignment horizontal="center" vertical="center"/>
      <protection locked="0"/>
    </xf>
    <xf numFmtId="49" fontId="99" fillId="23" borderId="112" xfId="2" applyNumberFormat="1" applyFont="1" applyFill="1" applyBorder="1" applyAlignment="1" applyProtection="1">
      <alignment horizontal="center" vertical="center" shrinkToFit="1"/>
      <protection hidden="1"/>
    </xf>
    <xf numFmtId="49" fontId="99" fillId="23" borderId="113" xfId="2" applyNumberFormat="1" applyFont="1" applyFill="1" applyBorder="1" applyAlignment="1" applyProtection="1">
      <alignment horizontal="center" vertical="center" shrinkToFit="1"/>
      <protection hidden="1"/>
    </xf>
    <xf numFmtId="49" fontId="99" fillId="23" borderId="114" xfId="2" applyNumberFormat="1" applyFont="1" applyFill="1" applyBorder="1" applyAlignment="1" applyProtection="1">
      <alignment horizontal="center" vertical="center" shrinkToFit="1"/>
      <protection hidden="1"/>
    </xf>
    <xf numFmtId="49" fontId="99" fillId="23" borderId="115" xfId="2" applyNumberFormat="1" applyFont="1" applyFill="1" applyBorder="1" applyAlignment="1" applyProtection="1">
      <alignment horizontal="center" vertical="center" shrinkToFit="1"/>
      <protection hidden="1"/>
    </xf>
    <xf numFmtId="49" fontId="68" fillId="26" borderId="101" xfId="0" applyNumberFormat="1" applyFont="1" applyFill="1" applyBorder="1" applyAlignment="1" applyProtection="1">
      <alignment horizontal="left" vertical="center" shrinkToFit="1"/>
      <protection locked="0"/>
    </xf>
    <xf numFmtId="49" fontId="68" fillId="26" borderId="111" xfId="0" applyNumberFormat="1" applyFont="1" applyFill="1" applyBorder="1" applyAlignment="1" applyProtection="1">
      <alignment horizontal="left" vertical="center" shrinkToFit="1"/>
      <protection locked="0"/>
    </xf>
    <xf numFmtId="0" fontId="68" fillId="26" borderId="1" xfId="2" applyFont="1" applyFill="1" applyBorder="1" applyAlignment="1" applyProtection="1">
      <alignment horizontal="center" vertical="center"/>
      <protection locked="0"/>
    </xf>
    <xf numFmtId="49" fontId="68" fillId="26" borderId="10" xfId="2" applyNumberFormat="1" applyFont="1" applyFill="1" applyBorder="1" applyAlignment="1" applyProtection="1">
      <alignment horizontal="center" vertical="center"/>
      <protection locked="0"/>
    </xf>
    <xf numFmtId="49" fontId="68" fillId="26" borderId="27" xfId="2" applyNumberFormat="1" applyFont="1" applyFill="1" applyBorder="1" applyAlignment="1" applyProtection="1">
      <alignment horizontal="center" vertical="center"/>
      <protection locked="0"/>
    </xf>
    <xf numFmtId="0" fontId="49" fillId="23" borderId="126" xfId="2" applyFont="1" applyFill="1" applyBorder="1" applyAlignment="1">
      <alignment horizontal="center" vertical="center" wrapText="1"/>
    </xf>
    <xf numFmtId="0" fontId="49" fillId="23" borderId="75" xfId="2" applyFont="1" applyFill="1" applyBorder="1" applyAlignment="1">
      <alignment horizontal="center" vertical="center" wrapText="1"/>
    </xf>
    <xf numFmtId="0" fontId="49" fillId="23" borderId="127" xfId="2" applyFont="1" applyFill="1" applyBorder="1" applyAlignment="1">
      <alignment horizontal="center" vertical="center" wrapText="1"/>
    </xf>
    <xf numFmtId="0" fontId="49" fillId="23" borderId="53" xfId="2" applyFont="1" applyFill="1" applyBorder="1" applyAlignment="1">
      <alignment horizontal="center" vertical="center" wrapText="1"/>
    </xf>
    <xf numFmtId="185" fontId="75" fillId="0" borderId="128" xfId="2" applyNumberFormat="1" applyFont="1" applyBorder="1" applyAlignment="1">
      <alignment horizontal="right" vertical="center"/>
    </xf>
    <xf numFmtId="185" fontId="75" fillId="0" borderId="108" xfId="2" applyNumberFormat="1" applyFont="1" applyBorder="1" applyAlignment="1">
      <alignment horizontal="right" vertical="center"/>
    </xf>
    <xf numFmtId="0" fontId="50" fillId="23" borderId="128" xfId="2" applyFont="1" applyFill="1" applyBorder="1" applyAlignment="1">
      <alignment horizontal="distributed" vertical="center"/>
    </xf>
    <xf numFmtId="0" fontId="50" fillId="23" borderId="108" xfId="2" applyFont="1" applyFill="1" applyBorder="1" applyAlignment="1">
      <alignment horizontal="distributed" vertical="center"/>
    </xf>
    <xf numFmtId="0" fontId="50" fillId="23" borderId="129" xfId="2" applyFont="1" applyFill="1" applyBorder="1" applyAlignment="1">
      <alignment horizontal="distributed" vertical="center"/>
    </xf>
    <xf numFmtId="49" fontId="68" fillId="26" borderId="130" xfId="2" applyNumberFormat="1" applyFont="1" applyFill="1" applyBorder="1" applyAlignment="1" applyProtection="1">
      <alignment horizontal="right" vertical="center" shrinkToFit="1"/>
      <protection locked="0"/>
    </xf>
    <xf numFmtId="49" fontId="68" fillId="26" borderId="19" xfId="2" applyNumberFormat="1" applyFont="1" applyFill="1" applyBorder="1" applyAlignment="1" applyProtection="1">
      <alignment horizontal="right" vertical="center" shrinkToFit="1"/>
      <protection locked="0"/>
    </xf>
    <xf numFmtId="49" fontId="68" fillId="26" borderId="131" xfId="2" applyNumberFormat="1" applyFont="1" applyFill="1" applyBorder="1" applyAlignment="1" applyProtection="1">
      <alignment horizontal="right" vertical="center" shrinkToFit="1"/>
      <protection locked="0"/>
    </xf>
    <xf numFmtId="49" fontId="75" fillId="0" borderId="132" xfId="2" applyNumberFormat="1" applyFont="1" applyBorder="1" applyAlignment="1">
      <alignment horizontal="center" vertical="center" shrinkToFit="1"/>
    </xf>
    <xf numFmtId="49" fontId="75" fillId="0" borderId="38" xfId="2" applyNumberFormat="1" applyFont="1" applyBorder="1" applyAlignment="1">
      <alignment horizontal="center" vertical="center" shrinkToFit="1"/>
    </xf>
    <xf numFmtId="49" fontId="68" fillId="26" borderId="35" xfId="2" applyNumberFormat="1" applyFont="1" applyFill="1" applyBorder="1" applyAlignment="1" applyProtection="1">
      <alignment horizontal="center" vertical="center"/>
      <protection locked="0"/>
    </xf>
    <xf numFmtId="49" fontId="68" fillId="26" borderId="60" xfId="2" applyNumberFormat="1" applyFont="1" applyFill="1" applyBorder="1" applyAlignment="1" applyProtection="1">
      <alignment horizontal="center" vertical="center"/>
      <protection locked="0"/>
    </xf>
    <xf numFmtId="49" fontId="75" fillId="0" borderId="146" xfId="2" applyNumberFormat="1" applyFont="1" applyBorder="1" applyAlignment="1">
      <alignment horizontal="center" vertical="center" shrinkToFit="1"/>
    </xf>
    <xf numFmtId="49" fontId="75" fillId="0" borderId="147" xfId="2" applyNumberFormat="1" applyFont="1" applyBorder="1" applyAlignment="1">
      <alignment horizontal="center" vertical="center"/>
    </xf>
    <xf numFmtId="49" fontId="75" fillId="0" borderId="148" xfId="2" applyNumberFormat="1" applyFont="1" applyBorder="1" applyAlignment="1">
      <alignment horizontal="center" vertical="center"/>
    </xf>
    <xf numFmtId="49" fontId="75" fillId="0" borderId="149" xfId="2" applyNumberFormat="1" applyFont="1" applyBorder="1" applyAlignment="1">
      <alignment horizontal="center" vertical="center"/>
    </xf>
    <xf numFmtId="49" fontId="75" fillId="0" borderId="67" xfId="2" applyNumberFormat="1" applyFont="1" applyBorder="1" applyAlignment="1">
      <alignment horizontal="center" vertical="center"/>
    </xf>
    <xf numFmtId="0" fontId="100" fillId="23" borderId="150" xfId="2" applyFont="1" applyFill="1" applyBorder="1" applyAlignment="1" applyProtection="1">
      <alignment horizontal="center" vertical="center" wrapText="1"/>
      <protection hidden="1"/>
    </xf>
    <xf numFmtId="0" fontId="100" fillId="23" borderId="133" xfId="2" applyFont="1" applyFill="1" applyBorder="1" applyAlignment="1" applyProtection="1">
      <alignment horizontal="center" vertical="center"/>
      <protection hidden="1"/>
    </xf>
    <xf numFmtId="0" fontId="100" fillId="23" borderId="151" xfId="2" applyFont="1" applyFill="1" applyBorder="1" applyAlignment="1" applyProtection="1">
      <alignment horizontal="center" vertical="center"/>
      <protection hidden="1"/>
    </xf>
    <xf numFmtId="0" fontId="100" fillId="23" borderId="63" xfId="2" applyFont="1" applyFill="1" applyBorder="1" applyAlignment="1" applyProtection="1">
      <alignment horizontal="center" vertical="center"/>
      <protection hidden="1"/>
    </xf>
    <xf numFmtId="49" fontId="75" fillId="0" borderId="152" xfId="2" applyNumberFormat="1" applyFont="1" applyBorder="1" applyAlignment="1">
      <alignment horizontal="center" vertical="center" shrinkToFit="1"/>
    </xf>
    <xf numFmtId="49" fontId="75" fillId="0" borderId="34" xfId="2" applyNumberFormat="1" applyFont="1" applyBorder="1" applyAlignment="1">
      <alignment horizontal="center" vertical="center" shrinkToFit="1"/>
    </xf>
    <xf numFmtId="49" fontId="75" fillId="0" borderId="153" xfId="2" applyNumberFormat="1" applyFont="1" applyBorder="1" applyAlignment="1">
      <alignment horizontal="center" vertical="center" shrinkToFit="1"/>
    </xf>
    <xf numFmtId="0" fontId="47" fillId="23" borderId="28" xfId="2" applyFont="1" applyFill="1" applyBorder="1" applyAlignment="1">
      <alignment horizontal="center" vertical="center"/>
    </xf>
    <xf numFmtId="0" fontId="47" fillId="23" borderId="126" xfId="2" applyFont="1" applyFill="1" applyBorder="1" applyAlignment="1">
      <alignment horizontal="distributed" vertical="center" justifyLastLine="1"/>
    </xf>
    <xf numFmtId="0" fontId="47" fillId="23" borderId="75" xfId="2" applyFont="1" applyFill="1" applyBorder="1" applyAlignment="1">
      <alignment horizontal="distributed" vertical="center" justifyLastLine="1"/>
    </xf>
    <xf numFmtId="0" fontId="47" fillId="23" borderId="154" xfId="2" applyFont="1" applyFill="1" applyBorder="1" applyAlignment="1">
      <alignment horizontal="distributed" vertical="center" justifyLastLine="1"/>
    </xf>
    <xf numFmtId="0" fontId="47" fillId="23" borderId="127" xfId="2" applyFont="1" applyFill="1" applyBorder="1" applyAlignment="1">
      <alignment horizontal="distributed" vertical="center" justifyLastLine="1"/>
    </xf>
    <xf numFmtId="0" fontId="47" fillId="23" borderId="53" xfId="2" applyFont="1" applyFill="1" applyBorder="1" applyAlignment="1">
      <alignment horizontal="distributed" vertical="center" justifyLastLine="1"/>
    </xf>
    <xf numFmtId="0" fontId="47" fillId="23" borderId="155" xfId="2" applyFont="1" applyFill="1" applyBorder="1" applyAlignment="1">
      <alignment horizontal="distributed" vertical="center" justifyLastLine="1"/>
    </xf>
    <xf numFmtId="0" fontId="50" fillId="23" borderId="156" xfId="2" applyFont="1" applyFill="1" applyBorder="1" applyAlignment="1">
      <alignment horizontal="center" vertical="center"/>
    </xf>
    <xf numFmtId="0" fontId="50" fillId="23" borderId="114" xfId="2" applyFont="1" applyFill="1" applyBorder="1" applyAlignment="1">
      <alignment horizontal="center" vertical="center"/>
    </xf>
    <xf numFmtId="0" fontId="50" fillId="23" borderId="157" xfId="2" applyFont="1" applyFill="1" applyBorder="1" applyAlignment="1">
      <alignment horizontal="center" vertical="center"/>
    </xf>
    <xf numFmtId="0" fontId="99" fillId="23" borderId="158" xfId="2" applyFont="1" applyFill="1" applyBorder="1" applyAlignment="1" applyProtection="1">
      <alignment horizontal="center" vertical="center" shrinkToFit="1"/>
      <protection hidden="1"/>
    </xf>
    <xf numFmtId="0" fontId="99" fillId="23" borderId="159" xfId="2" applyFont="1" applyFill="1" applyBorder="1" applyAlignment="1" applyProtection="1">
      <alignment horizontal="center" vertical="center" shrinkToFit="1"/>
      <protection hidden="1"/>
    </xf>
    <xf numFmtId="0" fontId="99" fillId="23" borderId="160" xfId="2" applyFont="1" applyFill="1" applyBorder="1" applyAlignment="1" applyProtection="1">
      <alignment horizontal="center" vertical="center" shrinkToFit="1"/>
      <protection hidden="1"/>
    </xf>
    <xf numFmtId="0" fontId="99" fillId="23" borderId="161" xfId="2" applyFont="1" applyFill="1" applyBorder="1" applyAlignment="1" applyProtection="1">
      <alignment horizontal="center" vertical="center" shrinkToFit="1"/>
      <protection hidden="1"/>
    </xf>
    <xf numFmtId="0" fontId="40" fillId="23" borderId="144" xfId="2" applyFont="1" applyFill="1" applyBorder="1" applyAlignment="1">
      <alignment horizontal="distributed" vertical="center" justifyLastLine="1"/>
    </xf>
    <xf numFmtId="0" fontId="40" fillId="23" borderId="14" xfId="2" applyFont="1" applyFill="1" applyBorder="1" applyAlignment="1">
      <alignment horizontal="distributed" vertical="center" justifyLastLine="1"/>
    </xf>
    <xf numFmtId="0" fontId="40" fillId="23" borderId="15" xfId="2" applyFont="1" applyFill="1" applyBorder="1" applyAlignment="1">
      <alignment horizontal="distributed" vertical="center" justifyLastLine="1"/>
    </xf>
    <xf numFmtId="0" fontId="40" fillId="23" borderId="89" xfId="2" applyFont="1" applyFill="1" applyBorder="1" applyAlignment="1">
      <alignment horizontal="distributed" vertical="center" justifyLastLine="1"/>
    </xf>
    <xf numFmtId="0" fontId="40" fillId="23" borderId="90" xfId="2" applyFont="1" applyFill="1" applyBorder="1" applyAlignment="1">
      <alignment horizontal="distributed" vertical="center" justifyLastLine="1"/>
    </xf>
    <xf numFmtId="0" fontId="40" fillId="23" borderId="161" xfId="2" applyFont="1" applyFill="1" applyBorder="1" applyAlignment="1">
      <alignment horizontal="distributed" vertical="center" justifyLastLine="1"/>
    </xf>
    <xf numFmtId="0" fontId="50" fillId="23" borderId="18" xfId="2" applyFont="1" applyFill="1" applyBorder="1" applyAlignment="1">
      <alignment horizontal="distributed" vertical="center"/>
    </xf>
    <xf numFmtId="0" fontId="50" fillId="23" borderId="19" xfId="2" applyFont="1" applyFill="1" applyBorder="1" applyAlignment="1">
      <alignment horizontal="distributed" vertical="center"/>
    </xf>
    <xf numFmtId="0" fontId="50" fillId="23" borderId="131" xfId="2" applyFont="1" applyFill="1" applyBorder="1" applyAlignment="1">
      <alignment horizontal="distributed" vertical="center"/>
    </xf>
    <xf numFmtId="0" fontId="40" fillId="5" borderId="0" xfId="2" applyFont="1" applyFill="1" applyAlignment="1">
      <alignment horizontal="center" vertical="center"/>
    </xf>
    <xf numFmtId="0" fontId="40" fillId="23" borderId="74" xfId="2" applyFont="1" applyFill="1" applyBorder="1" applyAlignment="1">
      <alignment horizontal="distributed" vertical="center" justifyLastLine="1"/>
    </xf>
    <xf numFmtId="0" fontId="40" fillId="23" borderId="75" xfId="2" applyFont="1" applyFill="1" applyBorder="1" applyAlignment="1">
      <alignment horizontal="distributed" vertical="center" justifyLastLine="1"/>
    </xf>
    <xf numFmtId="0" fontId="40" fillId="23" borderId="133" xfId="2" applyFont="1" applyFill="1" applyBorder="1" applyAlignment="1">
      <alignment horizontal="distributed" vertical="center" justifyLastLine="1"/>
    </xf>
    <xf numFmtId="0" fontId="40" fillId="23" borderId="134" xfId="2" applyFont="1" applyFill="1" applyBorder="1" applyAlignment="1">
      <alignment horizontal="distributed" vertical="center" justifyLastLine="1"/>
    </xf>
    <xf numFmtId="0" fontId="40" fillId="23" borderId="12" xfId="2" applyFont="1" applyFill="1" applyBorder="1" applyAlignment="1">
      <alignment horizontal="distributed" vertical="center" justifyLastLine="1"/>
    </xf>
    <xf numFmtId="0" fontId="40" fillId="23" borderId="135" xfId="2" applyFont="1" applyFill="1" applyBorder="1" applyAlignment="1">
      <alignment horizontal="distributed" vertical="center" justifyLastLine="1"/>
    </xf>
    <xf numFmtId="49" fontId="68" fillId="26" borderId="28" xfId="2" applyNumberFormat="1" applyFont="1" applyFill="1" applyBorder="1" applyAlignment="1" applyProtection="1">
      <alignment horizontal="center" vertical="center"/>
      <protection locked="0"/>
    </xf>
    <xf numFmtId="0" fontId="48" fillId="23" borderId="28" xfId="2" applyFont="1" applyFill="1" applyBorder="1" applyAlignment="1">
      <alignment horizontal="center" vertical="center"/>
    </xf>
    <xf numFmtId="0" fontId="48" fillId="23" borderId="1" xfId="2" applyFont="1" applyFill="1" applyBorder="1" applyAlignment="1">
      <alignment horizontal="center" vertical="center"/>
    </xf>
    <xf numFmtId="49" fontId="76" fillId="26" borderId="28" xfId="2" applyNumberFormat="1" applyFont="1" applyFill="1" applyBorder="1" applyAlignment="1" applyProtection="1">
      <alignment horizontal="center" vertical="center" shrinkToFit="1"/>
      <protection locked="0"/>
    </xf>
    <xf numFmtId="49" fontId="76" fillId="26" borderId="31" xfId="2" applyNumberFormat="1" applyFont="1" applyFill="1" applyBorder="1" applyAlignment="1" applyProtection="1">
      <alignment horizontal="center" vertical="center" shrinkToFit="1"/>
      <protection locked="0"/>
    </xf>
    <xf numFmtId="49" fontId="76" fillId="26" borderId="1" xfId="2" applyNumberFormat="1" applyFont="1" applyFill="1" applyBorder="1" applyAlignment="1" applyProtection="1">
      <alignment horizontal="center" vertical="center" shrinkToFit="1"/>
      <protection locked="0"/>
    </xf>
    <xf numFmtId="49" fontId="76" fillId="26" borderId="65" xfId="2" applyNumberFormat="1" applyFont="1" applyFill="1" applyBorder="1" applyAlignment="1" applyProtection="1">
      <alignment horizontal="center" vertical="center" shrinkToFit="1"/>
      <protection locked="0"/>
    </xf>
    <xf numFmtId="0" fontId="48" fillId="23" borderId="136" xfId="2" applyFont="1" applyFill="1" applyBorder="1" applyAlignment="1">
      <alignment horizontal="center" vertical="center"/>
    </xf>
    <xf numFmtId="0" fontId="48" fillId="23" borderId="66" xfId="2" applyFont="1" applyFill="1" applyBorder="1" applyAlignment="1">
      <alignment horizontal="center" vertical="center"/>
    </xf>
    <xf numFmtId="49" fontId="76" fillId="26" borderId="66" xfId="2" applyNumberFormat="1" applyFont="1" applyFill="1" applyBorder="1" applyAlignment="1" applyProtection="1">
      <alignment horizontal="center" vertical="center" shrinkToFit="1"/>
      <protection locked="0"/>
    </xf>
    <xf numFmtId="49" fontId="76" fillId="26" borderId="137" xfId="2" applyNumberFormat="1" applyFont="1" applyFill="1" applyBorder="1" applyAlignment="1" applyProtection="1">
      <alignment horizontal="center" vertical="center" shrinkToFit="1"/>
      <protection locked="0"/>
    </xf>
    <xf numFmtId="0" fontId="45" fillId="0" borderId="0" xfId="2" applyFont="1" applyAlignment="1">
      <alignment horizontal="left" wrapText="1"/>
    </xf>
    <xf numFmtId="0" fontId="45" fillId="0" borderId="0" xfId="2" applyFont="1" applyAlignment="1">
      <alignment horizontal="left"/>
    </xf>
    <xf numFmtId="0" fontId="40" fillId="23" borderId="138" xfId="2" applyFont="1" applyFill="1" applyBorder="1" applyAlignment="1">
      <alignment horizontal="distributed" vertical="center" justifyLastLine="1"/>
    </xf>
    <xf numFmtId="0" fontId="40" fillId="23" borderId="25" xfId="2" applyFont="1" applyFill="1" applyBorder="1" applyAlignment="1">
      <alignment horizontal="distributed" vertical="center" justifyLastLine="1"/>
    </xf>
    <xf numFmtId="0" fontId="40" fillId="23" borderId="26" xfId="2" applyFont="1" applyFill="1" applyBorder="1" applyAlignment="1">
      <alignment horizontal="distributed" vertical="center" justifyLastLine="1"/>
    </xf>
    <xf numFmtId="49" fontId="68" fillId="23" borderId="139" xfId="2" applyNumberFormat="1" applyFont="1" applyFill="1" applyBorder="1" applyAlignment="1">
      <alignment horizontal="center" vertical="center"/>
    </xf>
    <xf numFmtId="49" fontId="68" fillId="23" borderId="66" xfId="2" applyNumberFormat="1" applyFont="1" applyFill="1" applyBorder="1" applyAlignment="1">
      <alignment horizontal="center" vertical="center"/>
    </xf>
    <xf numFmtId="49" fontId="68" fillId="23" borderId="140" xfId="2" applyNumberFormat="1" applyFont="1" applyFill="1" applyBorder="1" applyAlignment="1">
      <alignment horizontal="center" vertical="center"/>
    </xf>
    <xf numFmtId="0" fontId="40" fillId="23" borderId="139" xfId="2" applyFont="1" applyFill="1" applyBorder="1" applyAlignment="1">
      <alignment horizontal="center" vertical="center" shrinkToFit="1"/>
    </xf>
    <xf numFmtId="0" fontId="40" fillId="23" borderId="66" xfId="2" applyFont="1" applyFill="1" applyBorder="1" applyAlignment="1">
      <alignment horizontal="center" vertical="center" shrinkToFit="1"/>
    </xf>
    <xf numFmtId="0" fontId="40" fillId="23" borderId="141" xfId="2" applyFont="1" applyFill="1" applyBorder="1" applyAlignment="1">
      <alignment horizontal="center" vertical="center" shrinkToFit="1"/>
    </xf>
    <xf numFmtId="0" fontId="48" fillId="23" borderId="36" xfId="2" applyFont="1" applyFill="1" applyBorder="1" applyAlignment="1">
      <alignment horizontal="center" vertical="center"/>
    </xf>
    <xf numFmtId="0" fontId="48" fillId="23" borderId="70" xfId="2" applyFont="1" applyFill="1" applyBorder="1" applyAlignment="1">
      <alignment horizontal="center" vertical="center"/>
    </xf>
    <xf numFmtId="0" fontId="40" fillId="23" borderId="13" xfId="2" applyFont="1" applyFill="1" applyBorder="1" applyAlignment="1">
      <alignment horizontal="distributed" vertical="center" justifyLastLine="1"/>
    </xf>
    <xf numFmtId="0" fontId="40" fillId="23" borderId="142" xfId="2" applyFont="1" applyFill="1" applyBorder="1" applyAlignment="1">
      <alignment horizontal="distributed" vertical="center" justifyLastLine="1"/>
    </xf>
    <xf numFmtId="49" fontId="68" fillId="26" borderId="2" xfId="2" applyNumberFormat="1" applyFont="1" applyFill="1" applyBorder="1" applyAlignment="1" applyProtection="1">
      <alignment horizontal="center" vertical="center"/>
      <protection locked="0"/>
    </xf>
    <xf numFmtId="0" fontId="40" fillId="23" borderId="2" xfId="2" applyFont="1" applyFill="1" applyBorder="1" applyAlignment="1">
      <alignment horizontal="distributed" vertical="center" justifyLastLine="1"/>
    </xf>
    <xf numFmtId="0" fontId="40" fillId="23" borderId="10" xfId="2" applyFont="1" applyFill="1" applyBorder="1" applyAlignment="1">
      <alignment horizontal="distributed" vertical="center" justifyLastLine="1"/>
    </xf>
    <xf numFmtId="49" fontId="68" fillId="26" borderId="19" xfId="2" applyNumberFormat="1" applyFont="1" applyFill="1" applyBorder="1" applyAlignment="1" applyProtection="1">
      <alignment horizontal="left" vertical="center"/>
      <protection locked="0"/>
    </xf>
    <xf numFmtId="49" fontId="68" fillId="26" borderId="143" xfId="2" applyNumberFormat="1" applyFont="1" applyFill="1" applyBorder="1" applyAlignment="1" applyProtection="1">
      <alignment horizontal="left" vertical="center"/>
      <protection locked="0"/>
    </xf>
    <xf numFmtId="49" fontId="68" fillId="26" borderId="72" xfId="2" applyNumberFormat="1" applyFont="1" applyFill="1" applyBorder="1" applyAlignment="1" applyProtection="1">
      <alignment horizontal="center" vertical="center"/>
      <protection locked="0"/>
    </xf>
    <xf numFmtId="0" fontId="40" fillId="23" borderId="2" xfId="2" applyFont="1" applyFill="1" applyBorder="1" applyAlignment="1">
      <alignment horizontal="center" vertical="center"/>
    </xf>
    <xf numFmtId="0" fontId="40" fillId="23" borderId="10" xfId="2" applyFont="1" applyFill="1" applyBorder="1" applyAlignment="1">
      <alignment horizontal="center" vertical="center"/>
    </xf>
    <xf numFmtId="0" fontId="40" fillId="23" borderId="145" xfId="2" applyFont="1" applyFill="1" applyBorder="1" applyAlignment="1">
      <alignment horizontal="distributed" vertical="center" justifyLastLine="1"/>
    </xf>
    <xf numFmtId="0" fontId="40" fillId="23" borderId="16" xfId="2" applyFont="1" applyFill="1" applyBorder="1" applyAlignment="1">
      <alignment horizontal="distributed" vertical="center" justifyLastLine="1"/>
    </xf>
    <xf numFmtId="0" fontId="40" fillId="23" borderId="17" xfId="2" applyFont="1" applyFill="1" applyBorder="1" applyAlignment="1">
      <alignment horizontal="distributed" vertical="center" justifyLastLine="1"/>
    </xf>
    <xf numFmtId="0" fontId="48" fillId="23" borderId="69" xfId="2" applyFont="1" applyFill="1" applyBorder="1" applyAlignment="1">
      <alignment horizontal="center" vertical="center"/>
    </xf>
    <xf numFmtId="49" fontId="68" fillId="26" borderId="107" xfId="2" applyNumberFormat="1" applyFont="1" applyFill="1" applyBorder="1" applyAlignment="1" applyProtection="1">
      <alignment horizontal="right" vertical="center" shrinkToFit="1"/>
      <protection locked="0"/>
    </xf>
    <xf numFmtId="0" fontId="68" fillId="26" borderId="108" xfId="0" applyFont="1" applyFill="1" applyBorder="1" applyAlignment="1" applyProtection="1">
      <alignment horizontal="right" vertical="center" shrinkToFit="1"/>
      <protection locked="0"/>
    </xf>
    <xf numFmtId="0" fontId="68" fillId="26" borderId="129" xfId="0" applyFont="1" applyFill="1" applyBorder="1" applyAlignment="1" applyProtection="1">
      <alignment horizontal="right" vertical="center" shrinkToFit="1"/>
      <protection locked="0"/>
    </xf>
    <xf numFmtId="0" fontId="40" fillId="0" borderId="0" xfId="2" applyFont="1" applyAlignment="1">
      <alignment horizontal="center" vertical="center"/>
    </xf>
    <xf numFmtId="0" fontId="47" fillId="23" borderId="74" xfId="2" applyFont="1" applyFill="1" applyBorder="1" applyAlignment="1">
      <alignment horizontal="distributed" vertical="center" justifyLastLine="1"/>
    </xf>
    <xf numFmtId="0" fontId="47" fillId="23" borderId="133" xfId="2" applyFont="1" applyFill="1" applyBorder="1" applyAlignment="1">
      <alignment horizontal="distributed" vertical="center" justifyLastLine="1"/>
    </xf>
    <xf numFmtId="0" fontId="47" fillId="23" borderId="162" xfId="2" applyFont="1" applyFill="1" applyBorder="1" applyAlignment="1">
      <alignment horizontal="distributed" vertical="center" justifyLastLine="1"/>
    </xf>
    <xf numFmtId="0" fontId="47" fillId="23" borderId="63" xfId="2" applyFont="1" applyFill="1" applyBorder="1" applyAlignment="1">
      <alignment horizontal="distributed" vertical="center" justifyLastLine="1"/>
    </xf>
    <xf numFmtId="176" fontId="40" fillId="23" borderId="5" xfId="2" applyNumberFormat="1" applyFont="1" applyFill="1" applyBorder="1" applyAlignment="1">
      <alignment horizontal="center" vertical="center"/>
    </xf>
    <xf numFmtId="176" fontId="40" fillId="23" borderId="6" xfId="2" applyNumberFormat="1" applyFont="1" applyFill="1" applyBorder="1" applyAlignment="1">
      <alignment horizontal="center" vertical="center"/>
    </xf>
    <xf numFmtId="176" fontId="40" fillId="23" borderId="40" xfId="2" applyNumberFormat="1" applyFont="1" applyFill="1" applyBorder="1" applyAlignment="1">
      <alignment horizontal="center" vertical="center"/>
    </xf>
    <xf numFmtId="176" fontId="40" fillId="23" borderId="37" xfId="2" applyNumberFormat="1" applyFont="1" applyFill="1" applyBorder="1" applyAlignment="1">
      <alignment horizontal="center" vertical="center"/>
    </xf>
    <xf numFmtId="176" fontId="40" fillId="23" borderId="163" xfId="2" applyNumberFormat="1" applyFont="1" applyFill="1" applyBorder="1" applyAlignment="1">
      <alignment horizontal="center" vertical="center"/>
    </xf>
    <xf numFmtId="176" fontId="40" fillId="23" borderId="117" xfId="2" applyNumberFormat="1" applyFont="1" applyFill="1" applyBorder="1" applyAlignment="1">
      <alignment horizontal="center" vertical="center"/>
    </xf>
    <xf numFmtId="176" fontId="40" fillId="23" borderId="164" xfId="2" applyNumberFormat="1" applyFont="1" applyFill="1" applyBorder="1" applyAlignment="1">
      <alignment horizontal="center" vertical="center"/>
    </xf>
    <xf numFmtId="176" fontId="40" fillId="23" borderId="120" xfId="2" applyNumberFormat="1" applyFont="1" applyFill="1" applyBorder="1" applyAlignment="1">
      <alignment horizontal="center" vertical="center"/>
    </xf>
    <xf numFmtId="176" fontId="40" fillId="23" borderId="165" xfId="2" applyNumberFormat="1" applyFont="1" applyFill="1" applyBorder="1" applyAlignment="1">
      <alignment horizontal="center" vertical="center"/>
    </xf>
    <xf numFmtId="176" fontId="40" fillId="23" borderId="28" xfId="2" applyNumberFormat="1" applyFont="1" applyFill="1" applyBorder="1" applyAlignment="1">
      <alignment horizontal="center" vertical="center"/>
    </xf>
    <xf numFmtId="176" fontId="40" fillId="5" borderId="5" xfId="2" applyNumberFormat="1" applyFont="1" applyFill="1" applyBorder="1" applyAlignment="1">
      <alignment horizontal="center" vertical="center"/>
    </xf>
    <xf numFmtId="176" fontId="40" fillId="5" borderId="6" xfId="2" applyNumberFormat="1" applyFont="1" applyFill="1" applyBorder="1" applyAlignment="1">
      <alignment horizontal="center" vertical="center"/>
    </xf>
    <xf numFmtId="176" fontId="40" fillId="5" borderId="39" xfId="2" applyNumberFormat="1" applyFont="1" applyFill="1" applyBorder="1" applyAlignment="1">
      <alignment horizontal="center" vertical="center"/>
    </xf>
    <xf numFmtId="176" fontId="40" fillId="5" borderId="1" xfId="2" applyNumberFormat="1" applyFont="1" applyFill="1" applyBorder="1" applyAlignment="1">
      <alignment horizontal="center" vertical="center"/>
    </xf>
    <xf numFmtId="176" fontId="40" fillId="5" borderId="40" xfId="2" applyNumberFormat="1" applyFont="1" applyFill="1" applyBorder="1" applyAlignment="1">
      <alignment horizontal="center" vertical="center"/>
    </xf>
    <xf numFmtId="176" fontId="40" fillId="5" borderId="37" xfId="2" applyNumberFormat="1" applyFont="1" applyFill="1" applyBorder="1" applyAlignment="1">
      <alignment horizontal="center" vertical="center"/>
    </xf>
    <xf numFmtId="49" fontId="77" fillId="26" borderId="166" xfId="2" applyNumberFormat="1" applyFont="1" applyFill="1" applyBorder="1" applyAlignment="1" applyProtection="1">
      <alignment horizontal="center" vertical="center" shrinkToFit="1"/>
      <protection locked="0"/>
    </xf>
    <xf numFmtId="49" fontId="77" fillId="26" borderId="167" xfId="2" applyNumberFormat="1" applyFont="1" applyFill="1" applyBorder="1" applyAlignment="1" applyProtection="1">
      <alignment horizontal="center" vertical="center" shrinkToFit="1"/>
      <protection locked="0"/>
    </xf>
    <xf numFmtId="49" fontId="77" fillId="26" borderId="168" xfId="2" applyNumberFormat="1" applyFont="1" applyFill="1" applyBorder="1" applyAlignment="1" applyProtection="1">
      <alignment horizontal="center" vertical="center" shrinkToFit="1"/>
      <protection locked="0"/>
    </xf>
    <xf numFmtId="49" fontId="77" fillId="26" borderId="169" xfId="2" applyNumberFormat="1" applyFont="1" applyFill="1" applyBorder="1" applyAlignment="1" applyProtection="1">
      <alignment horizontal="center" vertical="center" shrinkToFit="1"/>
      <protection locked="0"/>
    </xf>
    <xf numFmtId="49" fontId="77" fillId="26" borderId="170" xfId="2" applyNumberFormat="1" applyFont="1" applyFill="1" applyBorder="1" applyAlignment="1" applyProtection="1">
      <alignment horizontal="center" vertical="center" shrinkToFit="1"/>
      <protection locked="0"/>
    </xf>
    <xf numFmtId="49" fontId="68" fillId="26" borderId="171" xfId="2" applyNumberFormat="1" applyFont="1" applyFill="1" applyBorder="1" applyAlignment="1" applyProtection="1">
      <alignment horizontal="center" vertical="center" shrinkToFit="1"/>
      <protection locked="0"/>
    </xf>
    <xf numFmtId="49" fontId="68" fillId="26" borderId="172" xfId="2" applyNumberFormat="1" applyFont="1" applyFill="1" applyBorder="1" applyAlignment="1" applyProtection="1">
      <alignment horizontal="center" vertical="center" shrinkToFit="1"/>
      <protection locked="0"/>
    </xf>
    <xf numFmtId="49" fontId="68" fillId="26" borderId="156" xfId="2" applyNumberFormat="1" applyFont="1" applyFill="1" applyBorder="1" applyAlignment="1" applyProtection="1">
      <alignment horizontal="center" vertical="center" shrinkToFit="1"/>
      <protection locked="0"/>
    </xf>
    <xf numFmtId="49" fontId="68" fillId="26" borderId="114" xfId="2" applyNumberFormat="1" applyFont="1" applyFill="1" applyBorder="1" applyAlignment="1" applyProtection="1">
      <alignment horizontal="center" vertical="center" shrinkToFit="1"/>
      <protection locked="0"/>
    </xf>
    <xf numFmtId="49" fontId="68" fillId="26" borderId="122" xfId="2" applyNumberFormat="1" applyFont="1" applyFill="1" applyBorder="1" applyAlignment="1" applyProtection="1">
      <alignment horizontal="center" vertical="center" shrinkToFit="1"/>
      <protection locked="0"/>
    </xf>
    <xf numFmtId="49" fontId="68" fillId="26" borderId="68" xfId="2" applyNumberFormat="1" applyFont="1" applyFill="1" applyBorder="1" applyAlignment="1" applyProtection="1">
      <alignment horizontal="center" vertical="center" shrinkToFit="1"/>
      <protection locked="0"/>
    </xf>
    <xf numFmtId="49" fontId="68" fillId="26" borderId="173" xfId="2" applyNumberFormat="1" applyFont="1" applyFill="1" applyBorder="1" applyAlignment="1" applyProtection="1">
      <alignment horizontal="center" vertical="center" shrinkToFit="1"/>
      <protection locked="0"/>
    </xf>
    <xf numFmtId="182" fontId="68" fillId="26" borderId="97" xfId="2" applyNumberFormat="1" applyFont="1" applyFill="1" applyBorder="1" applyAlignment="1" applyProtection="1">
      <alignment horizontal="center" vertical="center"/>
      <protection locked="0"/>
    </xf>
    <xf numFmtId="182" fontId="68" fillId="26" borderId="98" xfId="2" applyNumberFormat="1" applyFont="1" applyFill="1" applyBorder="1" applyAlignment="1" applyProtection="1">
      <alignment horizontal="center" vertical="center"/>
      <protection locked="0"/>
    </xf>
    <xf numFmtId="182" fontId="68" fillId="26" borderId="99" xfId="2" applyNumberFormat="1" applyFont="1" applyFill="1" applyBorder="1" applyAlignment="1" applyProtection="1">
      <alignment horizontal="center" vertical="center"/>
      <protection locked="0"/>
    </xf>
    <xf numFmtId="49" fontId="68" fillId="26" borderId="175" xfId="2" applyNumberFormat="1" applyFont="1" applyFill="1" applyBorder="1" applyAlignment="1" applyProtection="1">
      <alignment horizontal="center" vertical="center" shrinkToFit="1"/>
      <protection locked="0"/>
    </xf>
    <xf numFmtId="49" fontId="68" fillId="26" borderId="112" xfId="2" applyNumberFormat="1" applyFont="1" applyFill="1" applyBorder="1" applyAlignment="1" applyProtection="1">
      <alignment horizontal="center" vertical="center" shrinkToFit="1"/>
      <protection locked="0"/>
    </xf>
    <xf numFmtId="186" fontId="101" fillId="23" borderId="17" xfId="2" applyNumberFormat="1" applyFont="1" applyFill="1" applyBorder="1" applyAlignment="1" applyProtection="1">
      <alignment horizontal="center" vertical="center"/>
      <protection hidden="1"/>
    </xf>
    <xf numFmtId="49" fontId="77" fillId="26" borderId="132" xfId="2" applyNumberFormat="1" applyFont="1" applyFill="1" applyBorder="1" applyAlignment="1" applyProtection="1">
      <alignment horizontal="center" vertical="center" shrinkToFit="1"/>
      <protection locked="0"/>
    </xf>
    <xf numFmtId="49" fontId="77" fillId="26" borderId="38" xfId="2" applyNumberFormat="1" applyFont="1" applyFill="1" applyBorder="1" applyAlignment="1" applyProtection="1">
      <alignment horizontal="center" vertical="center" shrinkToFit="1"/>
      <protection locked="0"/>
    </xf>
    <xf numFmtId="49" fontId="77" fillId="26" borderId="146" xfId="2" applyNumberFormat="1" applyFont="1" applyFill="1" applyBorder="1" applyAlignment="1" applyProtection="1">
      <alignment horizontal="center" vertical="center" shrinkToFit="1"/>
      <protection locked="0"/>
    </xf>
    <xf numFmtId="49" fontId="68" fillId="26" borderId="147" xfId="2" applyNumberFormat="1" applyFont="1" applyFill="1" applyBorder="1" applyAlignment="1" applyProtection="1">
      <alignment horizontal="center" vertical="center" shrinkToFit="1"/>
      <protection locked="0"/>
    </xf>
    <xf numFmtId="49" fontId="68" fillId="26" borderId="148" xfId="2" applyNumberFormat="1" applyFont="1" applyFill="1" applyBorder="1" applyAlignment="1" applyProtection="1">
      <alignment horizontal="center" vertical="center" shrinkToFit="1"/>
      <protection locked="0"/>
    </xf>
    <xf numFmtId="49" fontId="68" fillId="26" borderId="149" xfId="2" applyNumberFormat="1" applyFont="1" applyFill="1" applyBorder="1" applyAlignment="1" applyProtection="1">
      <alignment horizontal="center" vertical="center" shrinkToFit="1"/>
      <protection locked="0"/>
    </xf>
    <xf numFmtId="49" fontId="68" fillId="26" borderId="67" xfId="2" applyNumberFormat="1" applyFont="1" applyFill="1" applyBorder="1" applyAlignment="1" applyProtection="1">
      <alignment horizontal="center" vertical="center" shrinkToFit="1"/>
      <protection locked="0"/>
    </xf>
    <xf numFmtId="49" fontId="68" fillId="26" borderId="152" xfId="2" applyNumberFormat="1" applyFont="1" applyFill="1" applyBorder="1" applyAlignment="1" applyProtection="1">
      <alignment horizontal="center" vertical="center" shrinkToFit="1"/>
      <protection locked="0"/>
    </xf>
    <xf numFmtId="49" fontId="68" fillId="26" borderId="34" xfId="2" applyNumberFormat="1" applyFont="1" applyFill="1" applyBorder="1" applyAlignment="1" applyProtection="1">
      <alignment horizontal="center" vertical="center" shrinkToFit="1"/>
      <protection locked="0"/>
    </xf>
    <xf numFmtId="49" fontId="68" fillId="26" borderId="153" xfId="2" applyNumberFormat="1" applyFont="1" applyFill="1" applyBorder="1" applyAlignment="1" applyProtection="1">
      <alignment horizontal="center" vertical="center" shrinkToFit="1"/>
      <protection locked="0"/>
    </xf>
    <xf numFmtId="49" fontId="99" fillId="23" borderId="148" xfId="2" applyNumberFormat="1" applyFont="1" applyFill="1" applyBorder="1" applyAlignment="1" applyProtection="1">
      <alignment horizontal="center" vertical="center" shrinkToFit="1"/>
      <protection hidden="1"/>
    </xf>
    <xf numFmtId="49" fontId="99" fillId="23" borderId="179" xfId="2" applyNumberFormat="1" applyFont="1" applyFill="1" applyBorder="1" applyAlignment="1" applyProtection="1">
      <alignment horizontal="center" vertical="center" shrinkToFit="1"/>
      <protection hidden="1"/>
    </xf>
    <xf numFmtId="49" fontId="99" fillId="23" borderId="67" xfId="2" applyNumberFormat="1" applyFont="1" applyFill="1" applyBorder="1" applyAlignment="1" applyProtection="1">
      <alignment horizontal="center" vertical="center" shrinkToFit="1"/>
      <protection hidden="1"/>
    </xf>
    <xf numFmtId="49" fontId="99" fillId="23" borderId="105" xfId="2" applyNumberFormat="1" applyFont="1" applyFill="1" applyBorder="1" applyAlignment="1" applyProtection="1">
      <alignment horizontal="center" vertical="center" shrinkToFit="1"/>
      <protection hidden="1"/>
    </xf>
    <xf numFmtId="49" fontId="68" fillId="26" borderId="129" xfId="0" applyNumberFormat="1" applyFont="1" applyFill="1" applyBorder="1" applyAlignment="1" applyProtection="1">
      <alignment horizontal="left" vertical="center" shrinkToFit="1"/>
      <protection locked="0"/>
    </xf>
    <xf numFmtId="185" fontId="10" fillId="10" borderId="128" xfId="2" applyNumberFormat="1" applyFont="1" applyFill="1" applyBorder="1" applyAlignment="1" applyProtection="1">
      <alignment horizontal="center" vertical="center"/>
      <protection hidden="1"/>
    </xf>
    <xf numFmtId="0" fontId="0" fillId="10" borderId="108" xfId="0" applyFill="1" applyBorder="1" applyAlignment="1" applyProtection="1">
      <alignment horizontal="center" vertical="center"/>
      <protection hidden="1"/>
    </xf>
    <xf numFmtId="0" fontId="0" fillId="10" borderId="109" xfId="0" applyFill="1" applyBorder="1" applyAlignment="1" applyProtection="1">
      <alignment horizontal="center" vertical="center"/>
      <protection hidden="1"/>
    </xf>
    <xf numFmtId="49" fontId="68" fillId="26" borderId="152" xfId="2" applyNumberFormat="1" applyFont="1" applyFill="1" applyBorder="1" applyAlignment="1" applyProtection="1">
      <alignment horizontal="right" vertical="center" shrinkToFit="1"/>
      <protection locked="0"/>
    </xf>
    <xf numFmtId="49" fontId="36" fillId="26" borderId="34" xfId="0" applyNumberFormat="1" applyFont="1" applyFill="1" applyBorder="1" applyAlignment="1" applyProtection="1">
      <alignment horizontal="right" vertical="center" shrinkToFit="1"/>
      <protection locked="0"/>
    </xf>
    <xf numFmtId="49" fontId="36" fillId="26" borderId="107" xfId="0" applyNumberFormat="1" applyFont="1" applyFill="1" applyBorder="1" applyAlignment="1" applyProtection="1">
      <alignment horizontal="right" vertical="center" shrinkToFit="1"/>
      <protection locked="0"/>
    </xf>
    <xf numFmtId="182" fontId="68" fillId="26" borderId="142" xfId="2" applyNumberFormat="1" applyFont="1" applyFill="1" applyBorder="1" applyAlignment="1" applyProtection="1">
      <alignment horizontal="center" vertical="center"/>
      <protection locked="0"/>
    </xf>
    <xf numFmtId="182" fontId="68" fillId="26" borderId="12" xfId="2" applyNumberFormat="1" applyFont="1" applyFill="1" applyBorder="1" applyAlignment="1" applyProtection="1">
      <alignment horizontal="center" vertical="center"/>
      <protection locked="0"/>
    </xf>
    <xf numFmtId="182" fontId="68" fillId="26" borderId="135" xfId="2" applyNumberFormat="1" applyFont="1" applyFill="1" applyBorder="1" applyAlignment="1" applyProtection="1">
      <alignment horizontal="center" vertical="center"/>
      <protection locked="0"/>
    </xf>
    <xf numFmtId="49" fontId="10" fillId="5" borderId="148" xfId="2" applyNumberFormat="1" applyFont="1" applyFill="1" applyBorder="1" applyAlignment="1">
      <alignment horizontal="center" vertical="center"/>
    </xf>
    <xf numFmtId="49" fontId="10" fillId="5" borderId="180" xfId="2" applyNumberFormat="1" applyFont="1" applyFill="1" applyBorder="1" applyAlignment="1">
      <alignment horizontal="center" vertical="center"/>
    </xf>
    <xf numFmtId="49" fontId="10" fillId="5" borderId="66" xfId="2" applyNumberFormat="1" applyFont="1" applyFill="1" applyBorder="1" applyAlignment="1">
      <alignment horizontal="center" vertical="center"/>
    </xf>
    <xf numFmtId="49" fontId="10" fillId="5" borderId="137" xfId="2" applyNumberFormat="1" applyFont="1" applyFill="1" applyBorder="1" applyAlignment="1">
      <alignment horizontal="center" vertical="center"/>
    </xf>
    <xf numFmtId="186" fontId="40" fillId="5" borderId="6" xfId="2" applyNumberFormat="1" applyFont="1" applyFill="1" applyBorder="1" applyAlignment="1">
      <alignment horizontal="center" vertical="center"/>
    </xf>
    <xf numFmtId="186" fontId="40" fillId="5" borderId="178" xfId="2" applyNumberFormat="1" applyFont="1" applyFill="1" applyBorder="1" applyAlignment="1">
      <alignment horizontal="center" vertical="center"/>
    </xf>
    <xf numFmtId="186" fontId="40" fillId="5" borderId="1" xfId="2" applyNumberFormat="1" applyFont="1" applyFill="1" applyBorder="1" applyAlignment="1">
      <alignment horizontal="center" vertical="center"/>
    </xf>
    <xf numFmtId="186" fontId="40" fillId="5" borderId="65" xfId="2" applyNumberFormat="1" applyFont="1" applyFill="1" applyBorder="1" applyAlignment="1">
      <alignment horizontal="center" vertical="center"/>
    </xf>
    <xf numFmtId="0" fontId="78" fillId="5" borderId="58" xfId="2" applyFont="1" applyFill="1" applyBorder="1" applyAlignment="1">
      <alignment horizontal="center" vertical="center"/>
    </xf>
    <xf numFmtId="49" fontId="40" fillId="17" borderId="181" xfId="2" applyNumberFormat="1" applyFont="1" applyFill="1" applyBorder="1" applyAlignment="1" applyProtection="1">
      <alignment horizontal="center" vertical="center" shrinkToFit="1"/>
      <protection locked="0"/>
    </xf>
    <xf numFmtId="49" fontId="40" fillId="17" borderId="182" xfId="2" applyNumberFormat="1" applyFont="1" applyFill="1" applyBorder="1" applyAlignment="1" applyProtection="1">
      <alignment horizontal="center" vertical="center" shrinkToFit="1"/>
      <protection locked="0"/>
    </xf>
    <xf numFmtId="49" fontId="40" fillId="17" borderId="142" xfId="2" applyNumberFormat="1" applyFont="1" applyFill="1" applyBorder="1" applyAlignment="1" applyProtection="1">
      <alignment horizontal="center" vertical="center" shrinkToFit="1"/>
      <protection locked="0"/>
    </xf>
    <xf numFmtId="49" fontId="40" fillId="17" borderId="183" xfId="2" applyNumberFormat="1" applyFont="1" applyFill="1" applyBorder="1" applyAlignment="1" applyProtection="1">
      <alignment horizontal="center" vertical="center" shrinkToFit="1"/>
      <protection locked="0"/>
    </xf>
    <xf numFmtId="49" fontId="40" fillId="17" borderId="184" xfId="2" applyNumberFormat="1" applyFont="1" applyFill="1" applyBorder="1" applyAlignment="1" applyProtection="1">
      <alignment horizontal="center" vertical="center" shrinkToFit="1"/>
      <protection locked="0"/>
    </xf>
    <xf numFmtId="49" fontId="40" fillId="17" borderId="135" xfId="2" applyNumberFormat="1" applyFont="1" applyFill="1" applyBorder="1" applyAlignment="1" applyProtection="1">
      <alignment horizontal="center" vertical="center" shrinkToFit="1"/>
      <protection locked="0"/>
    </xf>
    <xf numFmtId="49" fontId="40" fillId="17" borderId="24" xfId="2" applyNumberFormat="1" applyFont="1" applyFill="1" applyBorder="1" applyAlignment="1" applyProtection="1">
      <alignment horizontal="center" vertical="center" shrinkToFit="1"/>
      <protection locked="0"/>
    </xf>
    <xf numFmtId="49" fontId="40" fillId="17" borderId="26" xfId="2" applyNumberFormat="1" applyFont="1" applyFill="1" applyBorder="1" applyAlignment="1" applyProtection="1">
      <alignment horizontal="center" vertical="center" shrinkToFit="1"/>
      <protection locked="0"/>
    </xf>
    <xf numFmtId="49" fontId="10" fillId="17" borderId="6" xfId="2" applyNumberFormat="1" applyFont="1" applyFill="1" applyBorder="1" applyAlignment="1" applyProtection="1">
      <alignment horizontal="center" vertical="center" shrinkToFit="1"/>
      <protection locked="0"/>
    </xf>
    <xf numFmtId="49" fontId="10" fillId="17" borderId="1" xfId="2" applyNumberFormat="1" applyFont="1" applyFill="1" applyBorder="1" applyAlignment="1" applyProtection="1">
      <alignment horizontal="center" vertical="center" shrinkToFit="1"/>
      <protection locked="0"/>
    </xf>
    <xf numFmtId="185" fontId="10" fillId="5" borderId="24" xfId="2" applyNumberFormat="1" applyFont="1" applyFill="1" applyBorder="1" applyAlignment="1">
      <alignment horizontal="center" vertical="center"/>
    </xf>
    <xf numFmtId="185" fontId="10" fillId="5" borderId="25" xfId="2" applyNumberFormat="1" applyFont="1" applyFill="1" applyBorder="1" applyAlignment="1">
      <alignment horizontal="center" vertical="center"/>
    </xf>
    <xf numFmtId="185" fontId="10" fillId="5" borderId="26" xfId="2" applyNumberFormat="1" applyFont="1" applyFill="1" applyBorder="1" applyAlignment="1">
      <alignment horizontal="center" vertical="center"/>
    </xf>
    <xf numFmtId="182" fontId="10" fillId="17" borderId="44" xfId="2" applyNumberFormat="1" applyFont="1" applyFill="1" applyBorder="1" applyAlignment="1" applyProtection="1">
      <alignment horizontal="center" vertical="center"/>
      <protection locked="0"/>
    </xf>
    <xf numFmtId="182" fontId="10" fillId="17" borderId="0" xfId="2" applyNumberFormat="1" applyFont="1" applyFill="1" applyAlignment="1" applyProtection="1">
      <alignment horizontal="center" vertical="center"/>
      <protection locked="0"/>
    </xf>
    <xf numFmtId="182" fontId="10" fillId="17" borderId="45" xfId="2" applyNumberFormat="1" applyFont="1" applyFill="1" applyBorder="1" applyAlignment="1" applyProtection="1">
      <alignment horizontal="center" vertical="center"/>
      <protection locked="0"/>
    </xf>
    <xf numFmtId="0" fontId="78" fillId="5" borderId="187" xfId="2" applyFont="1" applyFill="1" applyBorder="1" applyAlignment="1">
      <alignment horizontal="center" vertical="center"/>
    </xf>
    <xf numFmtId="49" fontId="68" fillId="26" borderId="25" xfId="2" applyNumberFormat="1" applyFont="1" applyFill="1" applyBorder="1" applyAlignment="1" applyProtection="1">
      <alignment horizontal="left" vertical="center" shrinkToFit="1"/>
      <protection locked="0"/>
    </xf>
    <xf numFmtId="49" fontId="68" fillId="26" borderId="188" xfId="2" applyNumberFormat="1" applyFont="1" applyFill="1" applyBorder="1" applyAlignment="1" applyProtection="1">
      <alignment horizontal="left" vertical="center" shrinkToFit="1"/>
      <protection locked="0"/>
    </xf>
    <xf numFmtId="49" fontId="10" fillId="17" borderId="69" xfId="2" applyNumberFormat="1" applyFont="1" applyFill="1" applyBorder="1" applyAlignment="1" applyProtection="1">
      <alignment horizontal="center" vertical="center" shrinkToFit="1"/>
      <protection locked="0"/>
    </xf>
    <xf numFmtId="49" fontId="10" fillId="17" borderId="36" xfId="2" applyNumberFormat="1" applyFont="1" applyFill="1" applyBorder="1" applyAlignment="1" applyProtection="1">
      <alignment horizontal="center" vertical="center" shrinkToFit="1"/>
      <protection locked="0"/>
    </xf>
    <xf numFmtId="49" fontId="10" fillId="17" borderId="70" xfId="2" applyNumberFormat="1" applyFont="1" applyFill="1" applyBorder="1" applyAlignment="1" applyProtection="1">
      <alignment horizontal="center" vertical="center" shrinkToFit="1"/>
      <protection locked="0"/>
    </xf>
    <xf numFmtId="49" fontId="10" fillId="17" borderId="136" xfId="2" applyNumberFormat="1" applyFont="1" applyFill="1" applyBorder="1" applyAlignment="1" applyProtection="1">
      <alignment horizontal="center" vertical="center"/>
      <protection locked="0"/>
    </xf>
    <xf numFmtId="49" fontId="10" fillId="17" borderId="66" xfId="2" applyNumberFormat="1" applyFont="1" applyFill="1" applyBorder="1" applyAlignment="1" applyProtection="1">
      <alignment horizontal="center" vertical="center"/>
      <protection locked="0"/>
    </xf>
    <xf numFmtId="49" fontId="10" fillId="17" borderId="149" xfId="2" applyNumberFormat="1" applyFont="1" applyFill="1" applyBorder="1" applyAlignment="1" applyProtection="1">
      <alignment horizontal="center" vertical="center"/>
      <protection locked="0"/>
    </xf>
    <xf numFmtId="49" fontId="10" fillId="17" borderId="67" xfId="2" applyNumberFormat="1" applyFont="1" applyFill="1" applyBorder="1" applyAlignment="1" applyProtection="1">
      <alignment horizontal="center" vertical="center"/>
      <protection locked="0"/>
    </xf>
    <xf numFmtId="49" fontId="10" fillId="17" borderId="152" xfId="2" applyNumberFormat="1" applyFont="1" applyFill="1" applyBorder="1" applyAlignment="1" applyProtection="1">
      <alignment horizontal="center" vertical="center" shrinkToFit="1"/>
      <protection locked="0"/>
    </xf>
    <xf numFmtId="49" fontId="10" fillId="17" borderId="34" xfId="2" applyNumberFormat="1" applyFont="1" applyFill="1" applyBorder="1" applyAlignment="1" applyProtection="1">
      <alignment horizontal="center" vertical="center" shrinkToFit="1"/>
      <protection locked="0"/>
    </xf>
    <xf numFmtId="49" fontId="10" fillId="17" borderId="153" xfId="2" applyNumberFormat="1" applyFont="1" applyFill="1" applyBorder="1" applyAlignment="1" applyProtection="1">
      <alignment horizontal="center" vertical="center" shrinkToFit="1"/>
      <protection locked="0"/>
    </xf>
    <xf numFmtId="49" fontId="10" fillId="5" borderId="67" xfId="2" applyNumberFormat="1" applyFont="1" applyFill="1" applyBorder="1" applyAlignment="1">
      <alignment horizontal="center" vertical="center"/>
    </xf>
    <xf numFmtId="49" fontId="10" fillId="5" borderId="185" xfId="2" applyNumberFormat="1" applyFont="1" applyFill="1" applyBorder="1" applyAlignment="1">
      <alignment horizontal="center" vertical="center"/>
    </xf>
    <xf numFmtId="49" fontId="40" fillId="17" borderId="130" xfId="2" applyNumberFormat="1" applyFont="1" applyFill="1" applyBorder="1" applyAlignment="1" applyProtection="1">
      <alignment horizontal="center" vertical="center" shrinkToFit="1"/>
      <protection locked="0"/>
    </xf>
    <xf numFmtId="49" fontId="40" fillId="17" borderId="131" xfId="2" applyNumberFormat="1" applyFont="1" applyFill="1" applyBorder="1" applyAlignment="1" applyProtection="1">
      <alignment horizontal="center" vertical="center" shrinkToFit="1"/>
      <protection locked="0"/>
    </xf>
    <xf numFmtId="186" fontId="40" fillId="5" borderId="37" xfId="2" applyNumberFormat="1" applyFont="1" applyFill="1" applyBorder="1" applyAlignment="1">
      <alignment horizontal="center" vertical="center"/>
    </xf>
    <xf numFmtId="186" fontId="40" fillId="5" borderId="73" xfId="2" applyNumberFormat="1" applyFont="1" applyFill="1" applyBorder="1" applyAlignment="1">
      <alignment horizontal="center" vertical="center"/>
    </xf>
    <xf numFmtId="0" fontId="78" fillId="5" borderId="186" xfId="2" applyFont="1" applyFill="1" applyBorder="1" applyAlignment="1">
      <alignment horizontal="center" vertical="center"/>
    </xf>
    <xf numFmtId="49" fontId="40" fillId="17" borderId="107" xfId="2" applyNumberFormat="1" applyFont="1" applyFill="1" applyBorder="1" applyAlignment="1" applyProtection="1">
      <alignment horizontal="center" vertical="center" shrinkToFit="1"/>
      <protection locked="0"/>
    </xf>
    <xf numFmtId="49" fontId="40" fillId="17" borderId="129" xfId="2" applyNumberFormat="1" applyFont="1" applyFill="1" applyBorder="1" applyAlignment="1" applyProtection="1">
      <alignment horizontal="center" vertical="center" shrinkToFit="1"/>
      <protection locked="0"/>
    </xf>
    <xf numFmtId="49" fontId="40" fillId="17" borderId="18" xfId="2" applyNumberFormat="1" applyFont="1" applyFill="1" applyBorder="1" applyAlignment="1" applyProtection="1">
      <alignment horizontal="center" vertical="center" shrinkToFit="1"/>
      <protection locked="0"/>
    </xf>
    <xf numFmtId="49" fontId="40" fillId="17" borderId="20" xfId="2" applyNumberFormat="1" applyFont="1" applyFill="1" applyBorder="1" applyAlignment="1" applyProtection="1">
      <alignment horizontal="center" vertical="center" shrinkToFit="1"/>
      <protection locked="0"/>
    </xf>
    <xf numFmtId="49" fontId="40" fillId="17" borderId="128" xfId="2" applyNumberFormat="1" applyFont="1" applyFill="1" applyBorder="1" applyAlignment="1" applyProtection="1">
      <alignment horizontal="center" vertical="center" shrinkToFit="1"/>
      <protection locked="0"/>
    </xf>
    <xf numFmtId="49" fontId="40" fillId="17" borderId="109" xfId="2" applyNumberFormat="1" applyFont="1" applyFill="1" applyBorder="1" applyAlignment="1" applyProtection="1">
      <alignment horizontal="center" vertical="center" shrinkToFit="1"/>
      <protection locked="0"/>
    </xf>
    <xf numFmtId="49" fontId="10" fillId="17" borderId="37" xfId="2" applyNumberFormat="1" applyFont="1" applyFill="1" applyBorder="1" applyAlignment="1" applyProtection="1">
      <alignment horizontal="center" vertical="center" shrinkToFit="1"/>
      <protection locked="0"/>
    </xf>
    <xf numFmtId="0" fontId="78" fillId="5" borderId="56" xfId="2" applyFont="1" applyFill="1" applyBorder="1" applyAlignment="1">
      <alignment horizontal="center" vertical="center"/>
    </xf>
    <xf numFmtId="185" fontId="10" fillId="5" borderId="128" xfId="2" applyNumberFormat="1" applyFont="1" applyFill="1" applyBorder="1" applyAlignment="1">
      <alignment horizontal="center" vertical="center"/>
    </xf>
    <xf numFmtId="185" fontId="10" fillId="5" borderId="108" xfId="2" applyNumberFormat="1" applyFont="1" applyFill="1" applyBorder="1" applyAlignment="1">
      <alignment horizontal="center" vertical="center"/>
    </xf>
    <xf numFmtId="185" fontId="10" fillId="5" borderId="109" xfId="2" applyNumberFormat="1" applyFont="1" applyFill="1" applyBorder="1" applyAlignment="1">
      <alignment horizontal="center" vertical="center"/>
    </xf>
    <xf numFmtId="49" fontId="10" fillId="17" borderId="132" xfId="2" applyNumberFormat="1" applyFont="1" applyFill="1" applyBorder="1" applyAlignment="1" applyProtection="1">
      <alignment horizontal="center" vertical="center" shrinkToFit="1"/>
      <protection locked="0"/>
    </xf>
    <xf numFmtId="49" fontId="10" fillId="17" borderId="38" xfId="2" applyNumberFormat="1" applyFont="1" applyFill="1" applyBorder="1" applyAlignment="1" applyProtection="1">
      <alignment horizontal="center" vertical="center" shrinkToFit="1"/>
      <protection locked="0"/>
    </xf>
    <xf numFmtId="49" fontId="10" fillId="17" borderId="146" xfId="2" applyNumberFormat="1" applyFont="1" applyFill="1" applyBorder="1" applyAlignment="1" applyProtection="1">
      <alignment horizontal="center" vertical="center" shrinkToFit="1"/>
      <protection locked="0"/>
    </xf>
    <xf numFmtId="49" fontId="10" fillId="17" borderId="147" xfId="2" applyNumberFormat="1" applyFont="1" applyFill="1" applyBorder="1" applyAlignment="1" applyProtection="1">
      <alignment horizontal="center" vertical="center"/>
      <protection locked="0"/>
    </xf>
    <xf numFmtId="49" fontId="10" fillId="17" borderId="148" xfId="2" applyNumberFormat="1" applyFont="1" applyFill="1" applyBorder="1" applyAlignment="1" applyProtection="1">
      <alignment horizontal="center" vertical="center"/>
      <protection locked="0"/>
    </xf>
    <xf numFmtId="49" fontId="10" fillId="17" borderId="60" xfId="2" applyNumberFormat="1" applyFont="1" applyFill="1" applyBorder="1" applyAlignment="1" applyProtection="1">
      <alignment horizontal="center" vertical="center" shrinkToFit="1"/>
      <protection locked="0"/>
    </xf>
    <xf numFmtId="49" fontId="10" fillId="17" borderId="35" xfId="2" applyNumberFormat="1" applyFont="1" applyFill="1" applyBorder="1" applyAlignment="1" applyProtection="1">
      <alignment horizontal="center" vertical="center" shrinkToFit="1"/>
      <protection locked="0"/>
    </xf>
    <xf numFmtId="49" fontId="10" fillId="17" borderId="72" xfId="2" applyNumberFormat="1" applyFont="1" applyFill="1" applyBorder="1" applyAlignment="1" applyProtection="1">
      <alignment horizontal="center" vertical="center" shrinkToFit="1"/>
      <protection locked="0"/>
    </xf>
    <xf numFmtId="0" fontId="79" fillId="0" borderId="0" xfId="2" applyFont="1" applyAlignment="1">
      <alignment horizontal="center" vertical="center"/>
    </xf>
    <xf numFmtId="0" fontId="80" fillId="0" borderId="0" xfId="2" applyFont="1" applyAlignment="1">
      <alignment horizontal="center" vertical="center"/>
    </xf>
    <xf numFmtId="0" fontId="40" fillId="23" borderId="218" xfId="2" applyFont="1" applyFill="1" applyBorder="1" applyAlignment="1">
      <alignment horizontal="center" vertical="center" wrapText="1"/>
    </xf>
    <xf numFmtId="0" fontId="40" fillId="23" borderId="219" xfId="2" applyFont="1" applyFill="1" applyBorder="1" applyAlignment="1">
      <alignment horizontal="center" vertical="center"/>
    </xf>
    <xf numFmtId="188" fontId="40" fillId="26" borderId="219" xfId="2" applyNumberFormat="1" applyFont="1" applyFill="1" applyBorder="1" applyAlignment="1" applyProtection="1">
      <alignment horizontal="center" vertical="center"/>
      <protection locked="0"/>
    </xf>
    <xf numFmtId="188" fontId="40" fillId="26" borderId="220" xfId="2" applyNumberFormat="1" applyFont="1" applyFill="1" applyBorder="1" applyAlignment="1" applyProtection="1">
      <alignment horizontal="center" vertical="center"/>
      <protection locked="0"/>
    </xf>
    <xf numFmtId="182" fontId="75" fillId="0" borderId="142" xfId="2" applyNumberFormat="1" applyFont="1" applyBorder="1" applyAlignment="1">
      <alignment horizontal="center" vertical="center"/>
    </xf>
    <xf numFmtId="182" fontId="75" fillId="0" borderId="12" xfId="2" applyNumberFormat="1" applyFont="1" applyBorder="1" applyAlignment="1">
      <alignment horizontal="center" vertical="center"/>
    </xf>
    <xf numFmtId="185" fontId="75" fillId="23" borderId="128" xfId="2" applyNumberFormat="1" applyFont="1" applyFill="1" applyBorder="1" applyAlignment="1" applyProtection="1">
      <alignment horizontal="center" vertical="center"/>
      <protection hidden="1"/>
    </xf>
    <xf numFmtId="185" fontId="75" fillId="23" borderId="108" xfId="2" applyNumberFormat="1" applyFont="1" applyFill="1" applyBorder="1" applyAlignment="1" applyProtection="1">
      <alignment horizontal="center" vertical="center"/>
      <protection hidden="1"/>
    </xf>
    <xf numFmtId="0" fontId="75" fillId="0" borderId="108" xfId="0" applyFont="1" applyBorder="1" applyAlignment="1">
      <alignment horizontal="left" vertical="center" shrinkToFit="1"/>
    </xf>
    <xf numFmtId="0" fontId="75" fillId="0" borderId="129" xfId="0" applyFont="1" applyBorder="1" applyAlignment="1">
      <alignment horizontal="left" vertical="center" shrinkToFit="1"/>
    </xf>
    <xf numFmtId="49" fontId="77" fillId="26" borderId="176" xfId="2" applyNumberFormat="1" applyFont="1" applyFill="1" applyBorder="1" applyAlignment="1" applyProtection="1">
      <alignment horizontal="center" vertical="center" shrinkToFit="1"/>
      <protection locked="0"/>
    </xf>
    <xf numFmtId="49" fontId="99" fillId="23" borderId="172" xfId="2" applyNumberFormat="1" applyFont="1" applyFill="1" applyBorder="1" applyAlignment="1" applyProtection="1">
      <alignment horizontal="center" vertical="center" shrinkToFit="1"/>
      <protection hidden="1"/>
    </xf>
    <xf numFmtId="49" fontId="99" fillId="23" borderId="177" xfId="2" applyNumberFormat="1" applyFont="1" applyFill="1" applyBorder="1" applyAlignment="1" applyProtection="1">
      <alignment horizontal="center" vertical="center" shrinkToFit="1"/>
      <protection hidden="1"/>
    </xf>
    <xf numFmtId="0" fontId="40" fillId="26" borderId="140" xfId="2" applyFont="1" applyFill="1" applyBorder="1" applyAlignment="1" applyProtection="1">
      <alignment horizontal="center" vertical="center"/>
      <protection locked="0"/>
    </xf>
    <xf numFmtId="0" fontId="40" fillId="26" borderId="10" xfId="2" applyFont="1" applyFill="1" applyBorder="1" applyAlignment="1" applyProtection="1">
      <alignment horizontal="center" vertical="center"/>
      <protection locked="0"/>
    </xf>
    <xf numFmtId="0" fontId="40" fillId="26" borderId="139" xfId="2" applyFont="1" applyFill="1" applyBorder="1" applyAlignment="1" applyProtection="1">
      <alignment horizontal="center" vertical="center"/>
      <protection locked="0"/>
    </xf>
    <xf numFmtId="0" fontId="40" fillId="23" borderId="10" xfId="2" applyFont="1" applyFill="1" applyBorder="1" applyAlignment="1" applyProtection="1">
      <alignment horizontal="center" vertical="center" shrinkToFit="1"/>
      <protection hidden="1"/>
    </xf>
    <xf numFmtId="0" fontId="81" fillId="0" borderId="0" xfId="2" applyFont="1" applyAlignment="1">
      <alignment horizontal="left" vertical="center" wrapText="1"/>
    </xf>
    <xf numFmtId="0" fontId="81" fillId="0" borderId="75" xfId="2" applyFont="1" applyBorder="1" applyAlignment="1">
      <alignment horizontal="left" vertical="center" wrapText="1"/>
    </xf>
    <xf numFmtId="0" fontId="12" fillId="5" borderId="18" xfId="0" applyFont="1" applyFill="1" applyBorder="1" applyAlignment="1" applyProtection="1">
      <alignment horizontal="right" vertical="center"/>
      <protection hidden="1"/>
    </xf>
    <xf numFmtId="0" fontId="12" fillId="5" borderId="19" xfId="0" applyFont="1" applyFill="1" applyBorder="1" applyAlignment="1" applyProtection="1">
      <alignment horizontal="right" vertical="center"/>
      <protection hidden="1"/>
    </xf>
    <xf numFmtId="0" fontId="63" fillId="5" borderId="191" xfId="0" applyFont="1" applyFill="1" applyBorder="1" applyAlignment="1" applyProtection="1">
      <alignment horizontal="center" vertical="center"/>
      <protection hidden="1"/>
    </xf>
    <xf numFmtId="0" fontId="63" fillId="5" borderId="192" xfId="0" applyFont="1" applyFill="1" applyBorder="1" applyAlignment="1" applyProtection="1">
      <alignment horizontal="center" vertical="center"/>
      <protection hidden="1"/>
    </xf>
    <xf numFmtId="0" fontId="63" fillId="5" borderId="193" xfId="0" applyFont="1" applyFill="1" applyBorder="1" applyAlignment="1" applyProtection="1">
      <alignment horizontal="center" vertical="center"/>
      <protection hidden="1"/>
    </xf>
    <xf numFmtId="0" fontId="14" fillId="5" borderId="25" xfId="0" applyFont="1" applyFill="1" applyBorder="1" applyAlignment="1" applyProtection="1">
      <alignment horizontal="distributed" vertical="center" justifyLastLine="1"/>
      <protection hidden="1"/>
    </xf>
    <xf numFmtId="0" fontId="14" fillId="5" borderId="26" xfId="0" applyFont="1" applyFill="1" applyBorder="1" applyAlignment="1" applyProtection="1">
      <alignment horizontal="distributed" vertical="center" justifyLastLine="1"/>
      <protection hidden="1"/>
    </xf>
    <xf numFmtId="0" fontId="56" fillId="21" borderId="18" xfId="0" applyFont="1" applyFill="1" applyBorder="1" applyAlignment="1" applyProtection="1">
      <alignment horizontal="center" vertical="center"/>
      <protection hidden="1"/>
    </xf>
    <xf numFmtId="0" fontId="56" fillId="21" borderId="19" xfId="0" applyFont="1" applyFill="1" applyBorder="1" applyAlignment="1" applyProtection="1">
      <alignment horizontal="center" vertical="center"/>
      <protection hidden="1"/>
    </xf>
    <xf numFmtId="0" fontId="56" fillId="21" borderId="20" xfId="0" applyFont="1" applyFill="1" applyBorder="1" applyAlignment="1" applyProtection="1">
      <alignment horizontal="center" vertical="center"/>
      <protection hidden="1"/>
    </xf>
    <xf numFmtId="0" fontId="63" fillId="5" borderId="19" xfId="0" applyFont="1" applyFill="1" applyBorder="1" applyAlignment="1" applyProtection="1">
      <alignment horizontal="center" vertical="center" shrinkToFit="1"/>
      <protection hidden="1"/>
    </xf>
    <xf numFmtId="0" fontId="40" fillId="21" borderId="57" xfId="0" applyFont="1" applyFill="1" applyBorder="1" applyAlignment="1" applyProtection="1">
      <alignment horizontal="left" vertical="center" shrinkToFit="1"/>
      <protection hidden="1"/>
    </xf>
    <xf numFmtId="0" fontId="10" fillId="21" borderId="4" xfId="0" applyFont="1" applyFill="1" applyBorder="1" applyAlignment="1" applyProtection="1">
      <alignment horizontal="center" vertical="center" shrinkToFit="1"/>
      <protection hidden="1"/>
    </xf>
    <xf numFmtId="0" fontId="10" fillId="21" borderId="22" xfId="0" applyFont="1" applyFill="1" applyBorder="1" applyAlignment="1" applyProtection="1">
      <alignment horizontal="center" vertical="center" shrinkToFit="1"/>
      <protection hidden="1"/>
    </xf>
    <xf numFmtId="0" fontId="10" fillId="21" borderId="23" xfId="0" applyFont="1" applyFill="1" applyBorder="1" applyAlignment="1" applyProtection="1">
      <alignment horizontal="center" vertical="center" shrinkToFit="1"/>
      <protection hidden="1"/>
    </xf>
    <xf numFmtId="0" fontId="40" fillId="21" borderId="58" xfId="0" applyFont="1" applyFill="1" applyBorder="1" applyAlignment="1" applyProtection="1">
      <alignment horizontal="left" vertical="center" shrinkToFit="1"/>
      <protection hidden="1"/>
    </xf>
    <xf numFmtId="0" fontId="40" fillId="21" borderId="18" xfId="0" applyFont="1" applyFill="1" applyBorder="1" applyAlignment="1" applyProtection="1">
      <alignment horizontal="center" vertical="center" shrinkToFit="1"/>
      <protection hidden="1"/>
    </xf>
    <xf numFmtId="0" fontId="40" fillId="21" borderId="19" xfId="0" applyFont="1" applyFill="1" applyBorder="1" applyAlignment="1" applyProtection="1">
      <alignment horizontal="center" vertical="center" shrinkToFit="1"/>
      <protection hidden="1"/>
    </xf>
    <xf numFmtId="0" fontId="40" fillId="21" borderId="20" xfId="0" applyFont="1" applyFill="1" applyBorder="1" applyAlignment="1" applyProtection="1">
      <alignment horizontal="center" vertical="center" shrinkToFit="1"/>
      <protection hidden="1"/>
    </xf>
    <xf numFmtId="0" fontId="40" fillId="21" borderId="25" xfId="0" applyFont="1" applyFill="1" applyBorder="1" applyAlignment="1" applyProtection="1">
      <alignment horizontal="left" vertical="center" shrinkToFit="1"/>
      <protection hidden="1"/>
    </xf>
    <xf numFmtId="0" fontId="40" fillId="21" borderId="26" xfId="0" applyFont="1" applyFill="1" applyBorder="1" applyAlignment="1" applyProtection="1">
      <alignment horizontal="left" vertical="center" shrinkToFit="1"/>
      <protection hidden="1"/>
    </xf>
    <xf numFmtId="0" fontId="40" fillId="21" borderId="10" xfId="0" applyFont="1" applyFill="1" applyBorder="1" applyAlignment="1" applyProtection="1">
      <alignment horizontal="left" vertical="center" shrinkToFit="1"/>
      <protection hidden="1"/>
    </xf>
    <xf numFmtId="0" fontId="29" fillId="0" borderId="10" xfId="0" applyFont="1" applyBorder="1" applyAlignment="1" applyProtection="1">
      <alignment horizontal="left" vertical="center" shrinkToFit="1"/>
      <protection hidden="1"/>
    </xf>
    <xf numFmtId="0" fontId="29" fillId="0" borderId="27" xfId="0" applyFont="1" applyBorder="1" applyAlignment="1" applyProtection="1">
      <alignment horizontal="left" vertical="center" shrinkToFit="1"/>
      <protection hidden="1"/>
    </xf>
    <xf numFmtId="0" fontId="0" fillId="0" borderId="10" xfId="0" applyBorder="1" applyAlignment="1" applyProtection="1">
      <alignment horizontal="left" vertical="center" shrinkToFit="1"/>
      <protection hidden="1"/>
    </xf>
    <xf numFmtId="0" fontId="0" fillId="0" borderId="27" xfId="0" applyBorder="1" applyAlignment="1" applyProtection="1">
      <alignment horizontal="left" vertical="center" shrinkToFit="1"/>
      <protection hidden="1"/>
    </xf>
    <xf numFmtId="0" fontId="40" fillId="21" borderId="56" xfId="0" applyFont="1" applyFill="1" applyBorder="1" applyAlignment="1" applyProtection="1">
      <alignment horizontal="left" vertical="center" shrinkToFit="1"/>
      <protection hidden="1"/>
    </xf>
    <xf numFmtId="3" fontId="12" fillId="5" borderId="24" xfId="0" applyNumberFormat="1" applyFont="1" applyFill="1" applyBorder="1" applyAlignment="1" applyProtection="1">
      <alignment horizontal="right" vertical="center"/>
      <protection hidden="1"/>
    </xf>
    <xf numFmtId="3" fontId="12" fillId="5" borderId="25" xfId="0" applyNumberFormat="1" applyFont="1" applyFill="1" applyBorder="1" applyAlignment="1" applyProtection="1">
      <alignment horizontal="right" vertical="center"/>
      <protection hidden="1"/>
    </xf>
    <xf numFmtId="3" fontId="37" fillId="5" borderId="18" xfId="0" applyNumberFormat="1" applyFont="1" applyFill="1" applyBorder="1" applyAlignment="1" applyProtection="1">
      <alignment horizontal="right" vertical="center"/>
      <protection hidden="1"/>
    </xf>
    <xf numFmtId="3" fontId="37" fillId="5" borderId="19" xfId="0" applyNumberFormat="1" applyFont="1" applyFill="1" applyBorder="1" applyAlignment="1" applyProtection="1">
      <alignment horizontal="right" vertical="center"/>
      <protection hidden="1"/>
    </xf>
    <xf numFmtId="0" fontId="82" fillId="0" borderId="0" xfId="0" applyFont="1" applyAlignment="1" applyProtection="1">
      <alignment horizontal="center" vertical="center" shrinkToFit="1"/>
      <protection hidden="1"/>
    </xf>
    <xf numFmtId="0" fontId="35" fillId="5" borderId="1" xfId="0" applyFont="1" applyFill="1" applyBorder="1" applyAlignment="1" applyProtection="1">
      <alignment horizontal="center" vertical="center"/>
      <protection hidden="1"/>
    </xf>
    <xf numFmtId="0" fontId="35" fillId="5" borderId="61" xfId="0" applyFont="1" applyFill="1" applyBorder="1" applyAlignment="1" applyProtection="1">
      <alignment horizontal="center" vertical="center"/>
      <protection hidden="1"/>
    </xf>
    <xf numFmtId="0" fontId="35" fillId="5" borderId="41" xfId="0" applyFont="1" applyFill="1" applyBorder="1" applyAlignment="1" applyProtection="1">
      <alignment horizontal="center" vertical="center"/>
      <protection hidden="1"/>
    </xf>
    <xf numFmtId="0" fontId="35" fillId="5" borderId="55" xfId="0" applyFont="1" applyFill="1" applyBorder="1" applyAlignment="1" applyProtection="1">
      <alignment horizontal="center" vertical="center"/>
      <protection hidden="1"/>
    </xf>
    <xf numFmtId="0" fontId="35" fillId="5" borderId="6" xfId="0" applyFont="1" applyFill="1" applyBorder="1" applyAlignment="1" applyProtection="1">
      <alignment horizontal="center" vertical="center"/>
      <protection hidden="1"/>
    </xf>
    <xf numFmtId="0" fontId="40" fillId="21" borderId="130" xfId="0" applyFont="1" applyFill="1" applyBorder="1" applyAlignment="1" applyProtection="1">
      <alignment horizontal="center" vertical="center" shrinkToFit="1"/>
      <protection hidden="1"/>
    </xf>
    <xf numFmtId="0" fontId="83" fillId="0" borderId="0" xfId="0" applyFont="1" applyAlignment="1" applyProtection="1">
      <alignment horizontal="left" vertical="center"/>
      <protection hidden="1"/>
    </xf>
    <xf numFmtId="0" fontId="84" fillId="0" borderId="0" xfId="0" applyFont="1" applyAlignment="1" applyProtection="1">
      <alignment horizontal="center" vertical="center" shrinkToFit="1"/>
      <protection hidden="1"/>
    </xf>
    <xf numFmtId="0" fontId="10" fillId="21" borderId="181" xfId="0" applyFont="1" applyFill="1" applyBorder="1" applyAlignment="1" applyProtection="1">
      <alignment horizontal="center" vertical="center" shrinkToFit="1"/>
      <protection hidden="1"/>
    </xf>
    <xf numFmtId="0" fontId="10" fillId="21" borderId="25" xfId="0" applyFont="1" applyFill="1" applyBorder="1" applyAlignment="1" applyProtection="1">
      <alignment horizontal="center" vertical="center" shrinkToFit="1"/>
      <protection hidden="1"/>
    </xf>
    <xf numFmtId="0" fontId="10" fillId="21" borderId="26" xfId="0" applyFont="1" applyFill="1" applyBorder="1" applyAlignment="1" applyProtection="1">
      <alignment horizontal="center" vertical="center" shrinkToFit="1"/>
      <protection hidden="1"/>
    </xf>
    <xf numFmtId="0" fontId="35" fillId="5" borderId="1" xfId="0" applyFont="1" applyFill="1" applyBorder="1" applyAlignment="1" applyProtection="1">
      <alignment horizontal="center" vertical="center" wrapText="1"/>
      <protection hidden="1"/>
    </xf>
    <xf numFmtId="0" fontId="35" fillId="5" borderId="59" xfId="0" applyFont="1" applyFill="1" applyBorder="1" applyAlignment="1" applyProtection="1">
      <alignment horizontal="center" vertical="center"/>
      <protection hidden="1"/>
    </xf>
    <xf numFmtId="0" fontId="63" fillId="5" borderId="18" xfId="0" applyFont="1" applyFill="1" applyBorder="1" applyAlignment="1" applyProtection="1">
      <alignment horizontal="center" vertical="center"/>
      <protection hidden="1"/>
    </xf>
    <xf numFmtId="0" fontId="63" fillId="5" borderId="20" xfId="0" applyFont="1" applyFill="1" applyBorder="1" applyAlignment="1" applyProtection="1">
      <alignment horizontal="center" vertical="center"/>
      <protection hidden="1"/>
    </xf>
    <xf numFmtId="0" fontId="83" fillId="5" borderId="2" xfId="0" applyFont="1" applyFill="1" applyBorder="1" applyAlignment="1" applyProtection="1">
      <alignment horizontal="left" vertical="center"/>
      <protection hidden="1"/>
    </xf>
    <xf numFmtId="0" fontId="83" fillId="5" borderId="10" xfId="0" applyFont="1" applyFill="1" applyBorder="1" applyAlignment="1" applyProtection="1">
      <alignment horizontal="left" vertical="center"/>
      <protection hidden="1"/>
    </xf>
    <xf numFmtId="0" fontId="83" fillId="5" borderId="27" xfId="0" applyFont="1" applyFill="1" applyBorder="1" applyAlignment="1" applyProtection="1">
      <alignment horizontal="left" vertical="center"/>
      <protection hidden="1"/>
    </xf>
    <xf numFmtId="3" fontId="37" fillId="5" borderId="14" xfId="0" applyNumberFormat="1" applyFont="1" applyFill="1" applyBorder="1" applyAlignment="1" applyProtection="1">
      <alignment horizontal="right" vertical="center"/>
      <protection hidden="1"/>
    </xf>
    <xf numFmtId="0" fontId="37" fillId="5" borderId="14" xfId="0" applyFont="1" applyFill="1" applyBorder="1" applyAlignment="1" applyProtection="1">
      <alignment horizontal="right" vertical="center"/>
      <protection hidden="1"/>
    </xf>
    <xf numFmtId="3" fontId="37" fillId="5" borderId="127" xfId="0" applyNumberFormat="1" applyFont="1" applyFill="1" applyBorder="1" applyAlignment="1" applyProtection="1">
      <alignment horizontal="right" vertical="center"/>
      <protection hidden="1"/>
    </xf>
    <xf numFmtId="3" fontId="37" fillId="5" borderId="53" xfId="0" applyNumberFormat="1" applyFont="1" applyFill="1" applyBorder="1" applyAlignment="1" applyProtection="1">
      <alignment horizontal="right" vertical="center"/>
      <protection hidden="1"/>
    </xf>
    <xf numFmtId="3" fontId="12" fillId="5" borderId="21" xfId="0" applyNumberFormat="1" applyFont="1" applyFill="1" applyBorder="1" applyAlignment="1" applyProtection="1">
      <alignment horizontal="right" vertical="center"/>
      <protection hidden="1"/>
    </xf>
    <xf numFmtId="3" fontId="12" fillId="5" borderId="22" xfId="0" applyNumberFormat="1" applyFont="1" applyFill="1" applyBorder="1" applyAlignment="1" applyProtection="1">
      <alignment horizontal="right" vertical="center"/>
      <protection hidden="1"/>
    </xf>
    <xf numFmtId="3" fontId="37" fillId="0" borderId="0" xfId="0" applyNumberFormat="1" applyFont="1" applyAlignment="1" applyProtection="1">
      <alignment horizontal="right" vertical="center"/>
      <protection hidden="1"/>
    </xf>
    <xf numFmtId="0" fontId="37" fillId="0" borderId="0" xfId="0" applyFont="1" applyAlignment="1" applyProtection="1">
      <alignment horizontal="right" vertical="center"/>
      <protection hidden="1"/>
    </xf>
    <xf numFmtId="3" fontId="37" fillId="5" borderId="21" xfId="0" applyNumberFormat="1" applyFont="1" applyFill="1" applyBorder="1" applyAlignment="1" applyProtection="1">
      <alignment horizontal="right" vertical="center"/>
      <protection hidden="1"/>
    </xf>
    <xf numFmtId="3" fontId="37" fillId="5" borderId="22" xfId="0" applyNumberFormat="1" applyFont="1" applyFill="1" applyBorder="1" applyAlignment="1" applyProtection="1">
      <alignment horizontal="right" vertical="center"/>
      <protection hidden="1"/>
    </xf>
    <xf numFmtId="3" fontId="37" fillId="5" borderId="24" xfId="0" applyNumberFormat="1" applyFont="1" applyFill="1" applyBorder="1" applyAlignment="1" applyProtection="1">
      <alignment horizontal="right" vertical="center"/>
      <protection hidden="1"/>
    </xf>
    <xf numFmtId="3" fontId="37" fillId="5" borderId="25" xfId="0" applyNumberFormat="1" applyFont="1" applyFill="1" applyBorder="1" applyAlignment="1" applyProtection="1">
      <alignment horizontal="right" vertical="center"/>
      <protection hidden="1"/>
    </xf>
    <xf numFmtId="3" fontId="37" fillId="29" borderId="14" xfId="0" applyNumberFormat="1" applyFont="1" applyFill="1" applyBorder="1" applyAlignment="1" applyProtection="1">
      <alignment horizontal="right" vertical="center"/>
      <protection hidden="1"/>
    </xf>
    <xf numFmtId="0" fontId="37" fillId="29" borderId="14" xfId="0" applyFont="1" applyFill="1" applyBorder="1" applyAlignment="1" applyProtection="1">
      <alignment horizontal="right" vertical="center"/>
      <protection hidden="1"/>
    </xf>
    <xf numFmtId="180" fontId="12" fillId="21" borderId="127" xfId="0" applyNumberFormat="1" applyFont="1" applyFill="1" applyBorder="1" applyAlignment="1" applyProtection="1">
      <alignment horizontal="right" vertical="center"/>
      <protection hidden="1"/>
    </xf>
    <xf numFmtId="180" fontId="12" fillId="21" borderId="53" xfId="0" applyNumberFormat="1" applyFont="1" applyFill="1" applyBorder="1" applyAlignment="1" applyProtection="1">
      <alignment horizontal="right" vertical="center"/>
      <protection hidden="1"/>
    </xf>
    <xf numFmtId="0" fontId="12" fillId="5" borderId="24" xfId="0" applyFont="1" applyFill="1" applyBorder="1" applyAlignment="1" applyProtection="1">
      <alignment horizontal="right" vertical="center"/>
      <protection hidden="1"/>
    </xf>
    <xf numFmtId="0" fontId="12" fillId="5" borderId="25" xfId="0" applyFont="1" applyFill="1" applyBorder="1" applyAlignment="1" applyProtection="1">
      <alignment horizontal="right" vertical="center"/>
      <protection hidden="1"/>
    </xf>
    <xf numFmtId="3" fontId="12" fillId="5" borderId="18" xfId="0" applyNumberFormat="1" applyFont="1" applyFill="1" applyBorder="1" applyAlignment="1" applyProtection="1">
      <alignment horizontal="right" vertical="center"/>
      <protection hidden="1"/>
    </xf>
    <xf numFmtId="3" fontId="12" fillId="5" borderId="19" xfId="0" applyNumberFormat="1" applyFont="1" applyFill="1" applyBorder="1" applyAlignment="1" applyProtection="1">
      <alignment horizontal="right" vertical="center"/>
      <protection hidden="1"/>
    </xf>
    <xf numFmtId="3" fontId="37" fillId="22" borderId="194" xfId="0" applyNumberFormat="1" applyFont="1" applyFill="1" applyBorder="1" applyAlignment="1" applyProtection="1">
      <alignment horizontal="right" vertical="center"/>
      <protection hidden="1"/>
    </xf>
    <xf numFmtId="3" fontId="37" fillId="22" borderId="93" xfId="0" applyNumberFormat="1" applyFont="1" applyFill="1" applyBorder="1" applyAlignment="1" applyProtection="1">
      <alignment horizontal="right" vertical="center"/>
      <protection hidden="1"/>
    </xf>
    <xf numFmtId="0" fontId="63" fillId="5" borderId="127" xfId="0" applyFont="1" applyFill="1" applyBorder="1" applyAlignment="1" applyProtection="1">
      <alignment vertical="center"/>
      <protection hidden="1"/>
    </xf>
    <xf numFmtId="0" fontId="0" fillId="5" borderId="53" xfId="0" applyFill="1" applyBorder="1" applyAlignment="1" applyProtection="1">
      <alignment vertical="center"/>
      <protection hidden="1"/>
    </xf>
    <xf numFmtId="0" fontId="0" fillId="5" borderId="63" xfId="0" applyFill="1" applyBorder="1" applyAlignment="1" applyProtection="1">
      <alignment vertical="center"/>
      <protection hidden="1"/>
    </xf>
    <xf numFmtId="0" fontId="85" fillId="5" borderId="92" xfId="0" applyFont="1" applyFill="1" applyBorder="1" applyAlignment="1" applyProtection="1">
      <alignment horizontal="center" vertical="center"/>
      <protection hidden="1"/>
    </xf>
    <xf numFmtId="0" fontId="85" fillId="5" borderId="93" xfId="0" applyFont="1" applyFill="1" applyBorder="1" applyAlignment="1" applyProtection="1">
      <alignment horizontal="center" vertical="center"/>
      <protection hidden="1"/>
    </xf>
    <xf numFmtId="0" fontId="85" fillId="5" borderId="195" xfId="0" applyFont="1" applyFill="1" applyBorder="1" applyAlignment="1" applyProtection="1">
      <alignment horizontal="center" vertical="center"/>
      <protection hidden="1"/>
    </xf>
    <xf numFmtId="0" fontId="35" fillId="5" borderId="19" xfId="0" applyFont="1" applyFill="1" applyBorder="1" applyAlignment="1" applyProtection="1">
      <alignment horizontal="right" vertical="center"/>
      <protection hidden="1"/>
    </xf>
    <xf numFmtId="0" fontId="35" fillId="5" borderId="20" xfId="0" applyFont="1" applyFill="1" applyBorder="1" applyAlignment="1" applyProtection="1">
      <alignment horizontal="right" vertical="center"/>
      <protection hidden="1"/>
    </xf>
    <xf numFmtId="0" fontId="35" fillId="5" borderId="25" xfId="0" applyFont="1" applyFill="1" applyBorder="1" applyAlignment="1" applyProtection="1">
      <alignment horizontal="right" vertical="center"/>
      <protection hidden="1"/>
    </xf>
    <xf numFmtId="0" fontId="35" fillId="5" borderId="26" xfId="0" applyFont="1" applyFill="1" applyBorder="1" applyAlignment="1" applyProtection="1">
      <alignment horizontal="right" vertical="center"/>
      <protection hidden="1"/>
    </xf>
    <xf numFmtId="187" fontId="63" fillId="0" borderId="0" xfId="0" applyNumberFormat="1" applyFont="1" applyAlignment="1" applyProtection="1">
      <alignment horizontal="right" vertical="center" shrinkToFit="1"/>
      <protection hidden="1"/>
    </xf>
    <xf numFmtId="187" fontId="63" fillId="0" borderId="0" xfId="0" applyNumberFormat="1" applyFont="1" applyAlignment="1" applyProtection="1">
      <alignment horizontal="left" vertical="center" shrinkToFit="1"/>
      <protection hidden="1"/>
    </xf>
    <xf numFmtId="0" fontId="54" fillId="5" borderId="19" xfId="0" applyFont="1" applyFill="1" applyBorder="1" applyAlignment="1" applyProtection="1">
      <alignment horizontal="right" vertical="center" justifyLastLine="1"/>
      <protection hidden="1"/>
    </xf>
    <xf numFmtId="0" fontId="54" fillId="5" borderId="20" xfId="0" applyFont="1" applyFill="1" applyBorder="1" applyAlignment="1" applyProtection="1">
      <alignment horizontal="right" vertical="center" justifyLastLine="1"/>
      <protection hidden="1"/>
    </xf>
    <xf numFmtId="0" fontId="54" fillId="5" borderId="22" xfId="0" applyFont="1" applyFill="1" applyBorder="1" applyAlignment="1" applyProtection="1">
      <alignment horizontal="right" vertical="center" justifyLastLine="1"/>
      <protection hidden="1"/>
    </xf>
    <xf numFmtId="0" fontId="54" fillId="5" borderId="23" xfId="0" applyFont="1" applyFill="1" applyBorder="1" applyAlignment="1" applyProtection="1">
      <alignment horizontal="right" vertical="center" justifyLastLine="1"/>
      <protection hidden="1"/>
    </xf>
    <xf numFmtId="0" fontId="63" fillId="5" borderId="196" xfId="0" applyFont="1" applyFill="1" applyBorder="1" applyAlignment="1" applyProtection="1">
      <alignment horizontal="center" vertical="center"/>
      <protection hidden="1"/>
    </xf>
    <xf numFmtId="0" fontId="63" fillId="5" borderId="197" xfId="0" applyFont="1" applyFill="1" applyBorder="1" applyAlignment="1" applyProtection="1">
      <alignment horizontal="center" vertical="center"/>
      <protection hidden="1"/>
    </xf>
    <xf numFmtId="0" fontId="63" fillId="5" borderId="198" xfId="0" applyFont="1" applyFill="1" applyBorder="1" applyAlignment="1" applyProtection="1">
      <alignment horizontal="center" vertical="center"/>
      <protection hidden="1"/>
    </xf>
    <xf numFmtId="0" fontId="37" fillId="5" borderId="18" xfId="0" applyFont="1" applyFill="1" applyBorder="1" applyAlignment="1" applyProtection="1">
      <alignment horizontal="right" vertical="center"/>
      <protection hidden="1"/>
    </xf>
    <xf numFmtId="0" fontId="37" fillId="5" borderId="19" xfId="0" applyFont="1" applyFill="1" applyBorder="1" applyAlignment="1" applyProtection="1">
      <alignment horizontal="right" vertical="center"/>
      <protection hidden="1"/>
    </xf>
    <xf numFmtId="0" fontId="37" fillId="5" borderId="21" xfId="0" applyFont="1" applyFill="1" applyBorder="1" applyAlignment="1" applyProtection="1">
      <alignment horizontal="right" vertical="center"/>
      <protection hidden="1"/>
    </xf>
    <xf numFmtId="0" fontId="37" fillId="5" borderId="22" xfId="0" applyFont="1" applyFill="1" applyBorder="1" applyAlignment="1" applyProtection="1">
      <alignment horizontal="right" vertical="center"/>
      <protection hidden="1"/>
    </xf>
    <xf numFmtId="0" fontId="54" fillId="5" borderId="25" xfId="0" applyFont="1" applyFill="1" applyBorder="1" applyAlignment="1" applyProtection="1">
      <alignment horizontal="right" vertical="center" justifyLastLine="1"/>
      <protection hidden="1"/>
    </xf>
    <xf numFmtId="0" fontId="54" fillId="5" borderId="26" xfId="0" applyFont="1" applyFill="1" applyBorder="1" applyAlignment="1" applyProtection="1">
      <alignment horizontal="right" vertical="center" justifyLastLine="1"/>
      <protection hidden="1"/>
    </xf>
    <xf numFmtId="0" fontId="37" fillId="5" borderId="24" xfId="0" applyFont="1" applyFill="1" applyBorder="1" applyAlignment="1" applyProtection="1">
      <alignment horizontal="right" vertical="center"/>
      <protection hidden="1"/>
    </xf>
    <xf numFmtId="0" fontId="37" fillId="5" borderId="25" xfId="0" applyFont="1" applyFill="1" applyBorder="1" applyAlignment="1" applyProtection="1">
      <alignment horizontal="right" vertical="center"/>
      <protection hidden="1"/>
    </xf>
    <xf numFmtId="0" fontId="14" fillId="5" borderId="19" xfId="0" applyFont="1" applyFill="1" applyBorder="1" applyAlignment="1" applyProtection="1">
      <alignment horizontal="distributed" vertical="center" justifyLastLine="1"/>
      <protection hidden="1"/>
    </xf>
    <xf numFmtId="0" fontId="14" fillId="5" borderId="20" xfId="0" applyFont="1" applyFill="1" applyBorder="1" applyAlignment="1" applyProtection="1">
      <alignment horizontal="distributed" vertical="center" justifyLastLine="1"/>
      <protection hidden="1"/>
    </xf>
    <xf numFmtId="0" fontId="35" fillId="5" borderId="55" xfId="0" applyFont="1" applyFill="1" applyBorder="1" applyAlignment="1" applyProtection="1">
      <alignment horizontal="center" vertical="center" wrapText="1"/>
      <protection hidden="1"/>
    </xf>
    <xf numFmtId="0" fontId="35" fillId="5" borderId="56" xfId="0" applyFont="1" applyFill="1" applyBorder="1" applyAlignment="1" applyProtection="1">
      <alignment horizontal="right" vertical="center"/>
      <protection hidden="1"/>
    </xf>
    <xf numFmtId="0" fontId="35" fillId="5" borderId="58" xfId="0" applyFont="1" applyFill="1" applyBorder="1" applyAlignment="1" applyProtection="1">
      <alignment horizontal="right" vertical="center"/>
      <protection hidden="1"/>
    </xf>
    <xf numFmtId="0" fontId="35" fillId="5" borderId="24" xfId="0" applyFont="1" applyFill="1" applyBorder="1" applyAlignment="1" applyProtection="1">
      <alignment horizontal="right" vertical="center"/>
      <protection hidden="1"/>
    </xf>
    <xf numFmtId="0" fontId="35" fillId="5" borderId="18" xfId="0" applyFont="1" applyFill="1" applyBorder="1" applyAlignment="1" applyProtection="1">
      <alignment horizontal="right" vertical="center"/>
      <protection hidden="1"/>
    </xf>
    <xf numFmtId="0" fontId="0" fillId="5" borderId="199" xfId="0" applyFill="1" applyBorder="1" applyAlignment="1">
      <alignment horizontal="center" vertical="center" shrinkToFit="1"/>
    </xf>
    <xf numFmtId="0" fontId="0" fillId="5" borderId="200" xfId="0" applyFill="1" applyBorder="1" applyAlignment="1">
      <alignment horizontal="center" vertical="center" shrinkToFit="1"/>
    </xf>
    <xf numFmtId="0" fontId="0" fillId="5" borderId="201" xfId="0" applyFill="1" applyBorder="1" applyAlignment="1">
      <alignment horizontal="center" vertical="center" shrinkToFit="1"/>
    </xf>
    <xf numFmtId="0" fontId="31" fillId="5" borderId="202" xfId="0" applyFont="1" applyFill="1" applyBorder="1" applyAlignment="1">
      <alignment horizontal="center" vertical="center"/>
    </xf>
    <xf numFmtId="0" fontId="31" fillId="5" borderId="174" xfId="0" applyFont="1" applyFill="1" applyBorder="1" applyAlignment="1">
      <alignment horizontal="center" vertical="center"/>
    </xf>
    <xf numFmtId="0" fontId="31" fillId="5" borderId="43" xfId="0" applyFont="1" applyFill="1" applyBorder="1" applyAlignment="1">
      <alignment horizontal="center" wrapText="1"/>
    </xf>
    <xf numFmtId="0" fontId="31" fillId="5" borderId="42" xfId="0" applyFont="1" applyFill="1" applyBorder="1" applyAlignment="1">
      <alignment horizontal="center" wrapText="1"/>
    </xf>
    <xf numFmtId="0" fontId="0" fillId="5" borderId="43" xfId="0" applyFill="1" applyBorder="1" applyAlignment="1">
      <alignment horizontal="center" vertical="center"/>
    </xf>
    <xf numFmtId="0" fontId="0" fillId="5" borderId="42" xfId="0" applyFill="1" applyBorder="1" applyAlignment="1">
      <alignment horizontal="center" vertical="center"/>
    </xf>
    <xf numFmtId="0" fontId="0" fillId="5" borderId="43" xfId="0" applyFill="1" applyBorder="1" applyAlignment="1">
      <alignment horizontal="center" vertical="center" wrapText="1"/>
    </xf>
    <xf numFmtId="0" fontId="0" fillId="5" borderId="42" xfId="0" applyFill="1" applyBorder="1" applyAlignment="1">
      <alignment horizontal="center" vertical="center" wrapText="1"/>
    </xf>
    <xf numFmtId="49" fontId="68" fillId="17" borderId="203" xfId="0" applyNumberFormat="1" applyFont="1" applyFill="1" applyBorder="1" applyAlignment="1" applyProtection="1">
      <alignment horizontal="left" vertical="center" shrinkToFit="1"/>
      <protection locked="0"/>
    </xf>
    <xf numFmtId="49" fontId="68" fillId="17" borderId="95" xfId="0" applyNumberFormat="1" applyFont="1" applyFill="1" applyBorder="1" applyAlignment="1" applyProtection="1">
      <alignment horizontal="left" vertical="center" shrinkToFit="1"/>
      <protection locked="0"/>
    </xf>
    <xf numFmtId="49" fontId="68" fillId="17" borderId="96" xfId="0" applyNumberFormat="1" applyFont="1" applyFill="1" applyBorder="1" applyAlignment="1" applyProtection="1">
      <alignment horizontal="left" vertical="center" shrinkToFit="1"/>
      <protection locked="0"/>
    </xf>
    <xf numFmtId="0" fontId="0" fillId="0" borderId="75" xfId="0" applyBorder="1" applyAlignment="1">
      <alignment horizontal="right" vertical="center"/>
    </xf>
    <xf numFmtId="0" fontId="0" fillId="0" borderId="0" xfId="0" applyAlignment="1">
      <alignment horizontal="right" vertical="center"/>
    </xf>
    <xf numFmtId="179" fontId="0" fillId="0" borderId="43" xfId="0" applyNumberFormat="1" applyBorder="1" applyAlignment="1">
      <alignment horizontal="right" vertical="center"/>
    </xf>
    <xf numFmtId="179" fontId="0" fillId="0" borderId="6" xfId="0" applyNumberFormat="1" applyBorder="1" applyAlignment="1">
      <alignment horizontal="right" vertical="center"/>
    </xf>
    <xf numFmtId="49" fontId="68" fillId="17" borderId="2" xfId="0" applyNumberFormat="1" applyFont="1" applyFill="1" applyBorder="1" applyAlignment="1" applyProtection="1">
      <alignment horizontal="left" vertical="center" shrinkToFit="1"/>
      <protection locked="0"/>
    </xf>
    <xf numFmtId="49" fontId="68" fillId="17" borderId="10" xfId="0" applyNumberFormat="1" applyFont="1" applyFill="1" applyBorder="1" applyAlignment="1" applyProtection="1">
      <alignment horizontal="left" vertical="center" shrinkToFit="1"/>
      <protection locked="0"/>
    </xf>
    <xf numFmtId="49" fontId="68" fillId="17" borderId="27" xfId="0" applyNumberFormat="1" applyFont="1" applyFill="1" applyBorder="1" applyAlignment="1" applyProtection="1">
      <alignment horizontal="left" vertical="center" shrinkToFit="1"/>
      <protection locked="0"/>
    </xf>
    <xf numFmtId="0" fontId="0" fillId="5" borderId="204" xfId="0" applyFill="1" applyBorder="1" applyAlignment="1">
      <alignment horizontal="center" vertical="center" wrapText="1"/>
    </xf>
    <xf numFmtId="0" fontId="0" fillId="5" borderId="205" xfId="0" applyFill="1" applyBorder="1" applyAlignment="1">
      <alignment horizontal="center" vertical="center"/>
    </xf>
    <xf numFmtId="0" fontId="31" fillId="5" borderId="43" xfId="0" applyFont="1" applyFill="1" applyBorder="1" applyAlignment="1">
      <alignment horizontal="center" vertical="center"/>
    </xf>
    <xf numFmtId="0" fontId="31" fillId="5" borderId="42" xfId="0" applyFont="1" applyFill="1" applyBorder="1" applyAlignment="1">
      <alignment horizontal="center" vertical="center"/>
    </xf>
    <xf numFmtId="0" fontId="31" fillId="5" borderId="43" xfId="0" applyFont="1" applyFill="1" applyBorder="1" applyAlignment="1">
      <alignment horizontal="center" vertical="center" wrapText="1"/>
    </xf>
    <xf numFmtId="0" fontId="63" fillId="5" borderId="2" xfId="0" applyFont="1" applyFill="1" applyBorder="1" applyAlignment="1">
      <alignment horizontal="center" vertical="center" wrapText="1"/>
    </xf>
    <xf numFmtId="0" fontId="63" fillId="5" borderId="10" xfId="0" applyFont="1" applyFill="1" applyBorder="1" applyAlignment="1">
      <alignment horizontal="center" vertical="center" wrapText="1"/>
    </xf>
    <xf numFmtId="0" fontId="63" fillId="5" borderId="27" xfId="0" applyFont="1" applyFill="1" applyBorder="1" applyAlignment="1">
      <alignment horizontal="center" vertical="center" wrapText="1"/>
    </xf>
    <xf numFmtId="49" fontId="68" fillId="17" borderId="18" xfId="0" applyNumberFormat="1" applyFont="1" applyFill="1" applyBorder="1" applyAlignment="1" applyProtection="1">
      <alignment horizontal="left" vertical="center" shrinkToFit="1"/>
      <protection locked="0"/>
    </xf>
    <xf numFmtId="49" fontId="68" fillId="17" borderId="19" xfId="0" applyNumberFormat="1" applyFont="1" applyFill="1" applyBorder="1" applyAlignment="1" applyProtection="1">
      <alignment horizontal="left" vertical="center" shrinkToFit="1"/>
      <protection locked="0"/>
    </xf>
    <xf numFmtId="49" fontId="68" fillId="17" borderId="20" xfId="0" applyNumberFormat="1" applyFont="1" applyFill="1" applyBorder="1" applyAlignment="1" applyProtection="1">
      <alignment horizontal="left" vertical="center" shrinkToFit="1"/>
      <protection locked="0"/>
    </xf>
    <xf numFmtId="0" fontId="36" fillId="0" borderId="90" xfId="0" applyFont="1" applyBorder="1" applyAlignment="1">
      <alignment horizontal="left" vertical="center" wrapText="1"/>
    </xf>
    <xf numFmtId="0" fontId="36" fillId="0" borderId="90" xfId="0" applyFont="1" applyBorder="1" applyAlignment="1">
      <alignment horizontal="left" vertical="center"/>
    </xf>
    <xf numFmtId="0" fontId="35" fillId="5" borderId="2" xfId="0" applyFont="1" applyFill="1" applyBorder="1" applyAlignment="1">
      <alignment horizontal="distributed" vertical="center" justifyLastLine="1"/>
    </xf>
    <xf numFmtId="0" fontId="35" fillId="5" borderId="10" xfId="0" applyFont="1" applyFill="1" applyBorder="1" applyAlignment="1">
      <alignment horizontal="distributed" vertical="center" justifyLastLine="1"/>
    </xf>
    <xf numFmtId="0" fontId="35" fillId="5" borderId="27" xfId="0" applyFont="1" applyFill="1" applyBorder="1" applyAlignment="1">
      <alignment horizontal="distributed" vertical="center" justifyLastLine="1"/>
    </xf>
    <xf numFmtId="49" fontId="68" fillId="17" borderId="21" xfId="0" applyNumberFormat="1" applyFont="1" applyFill="1" applyBorder="1" applyAlignment="1" applyProtection="1">
      <alignment horizontal="left" vertical="center" shrinkToFit="1"/>
      <protection locked="0"/>
    </xf>
    <xf numFmtId="49" fontId="68" fillId="17" borderId="22" xfId="0" applyNumberFormat="1" applyFont="1" applyFill="1" applyBorder="1" applyAlignment="1" applyProtection="1">
      <alignment horizontal="left" vertical="center" shrinkToFit="1"/>
      <protection locked="0"/>
    </xf>
    <xf numFmtId="49" fontId="68" fillId="17" borderId="23" xfId="0" applyNumberFormat="1" applyFont="1" applyFill="1" applyBorder="1" applyAlignment="1" applyProtection="1">
      <alignment horizontal="left" vertical="center" shrinkToFit="1"/>
      <protection locked="0"/>
    </xf>
    <xf numFmtId="0" fontId="86" fillId="4" borderId="0" xfId="0" applyFont="1" applyFill="1" applyAlignment="1" applyProtection="1">
      <alignment horizontal="left" vertical="center" wrapText="1"/>
      <protection hidden="1"/>
    </xf>
    <xf numFmtId="0" fontId="79" fillId="0" borderId="0" xfId="0" applyFont="1" applyAlignment="1">
      <alignment horizontal="center" vertical="center"/>
    </xf>
    <xf numFmtId="0" fontId="80" fillId="0" borderId="0" xfId="0" applyFont="1" applyAlignment="1">
      <alignment horizontal="center" vertical="center"/>
    </xf>
    <xf numFmtId="0" fontId="63" fillId="5" borderId="2" xfId="0" applyFont="1" applyFill="1" applyBorder="1" applyAlignment="1">
      <alignment horizontal="distributed" vertical="center" justifyLastLine="1"/>
    </xf>
    <xf numFmtId="0" fontId="63" fillId="5" borderId="10" xfId="0" applyFont="1" applyFill="1" applyBorder="1" applyAlignment="1">
      <alignment horizontal="distributed" vertical="center" justifyLastLine="1"/>
    </xf>
    <xf numFmtId="0" fontId="63" fillId="5" borderId="27" xfId="0" applyFont="1" applyFill="1" applyBorder="1" applyAlignment="1">
      <alignment horizontal="distributed" vertical="center" justifyLastLine="1"/>
    </xf>
    <xf numFmtId="0" fontId="35" fillId="21" borderId="2" xfId="0" applyFont="1" applyFill="1" applyBorder="1" applyAlignment="1" applyProtection="1">
      <alignment horizontal="center" vertical="center"/>
      <protection hidden="1"/>
    </xf>
    <xf numFmtId="0" fontId="35" fillId="21" borderId="10" xfId="0" applyFont="1" applyFill="1" applyBorder="1" applyAlignment="1" applyProtection="1">
      <alignment horizontal="center" vertical="center"/>
      <protection hidden="1"/>
    </xf>
    <xf numFmtId="0" fontId="35" fillId="21" borderId="27" xfId="0" applyFont="1" applyFill="1" applyBorder="1" applyAlignment="1" applyProtection="1">
      <alignment horizontal="center" vertical="center"/>
      <protection hidden="1"/>
    </xf>
    <xf numFmtId="0" fontId="40" fillId="5" borderId="1" xfId="0" applyFont="1" applyFill="1" applyBorder="1" applyAlignment="1" applyProtection="1">
      <alignment horizontal="center" vertical="center"/>
      <protection hidden="1"/>
    </xf>
    <xf numFmtId="0" fontId="35" fillId="0" borderId="0" xfId="0" applyFont="1" applyAlignment="1" applyProtection="1">
      <alignment horizontal="left" vertical="center"/>
      <protection hidden="1"/>
    </xf>
    <xf numFmtId="0" fontId="87" fillId="0" borderId="0" xfId="0" applyFont="1" applyAlignment="1" applyProtection="1">
      <alignment horizontal="left" vertical="center" shrinkToFit="1"/>
      <protection hidden="1"/>
    </xf>
    <xf numFmtId="0" fontId="88" fillId="0" borderId="0" xfId="0" applyFont="1" applyAlignment="1" applyProtection="1">
      <alignment horizontal="center" vertical="center" shrinkToFit="1"/>
      <protection hidden="1"/>
    </xf>
    <xf numFmtId="0" fontId="52" fillId="0" borderId="0" xfId="0" applyFont="1" applyAlignment="1" applyProtection="1">
      <alignment horizontal="center" vertical="center" shrinkToFit="1"/>
      <protection hidden="1"/>
    </xf>
    <xf numFmtId="0" fontId="40" fillId="0" borderId="13" xfId="0" applyFont="1" applyBorder="1" applyAlignment="1" applyProtection="1">
      <alignment horizontal="center" vertical="center" textRotation="255"/>
      <protection hidden="1"/>
    </xf>
    <xf numFmtId="0" fontId="40" fillId="0" borderId="59" xfId="0" applyFont="1" applyBorder="1" applyAlignment="1" applyProtection="1">
      <alignment horizontal="center" vertical="center" textRotation="255"/>
      <protection hidden="1"/>
    </xf>
    <xf numFmtId="0" fontId="40" fillId="0" borderId="6" xfId="0" applyFont="1" applyBorder="1" applyAlignment="1" applyProtection="1">
      <alignment horizontal="center" vertical="center" textRotation="255"/>
      <protection hidden="1"/>
    </xf>
    <xf numFmtId="0" fontId="79" fillId="0" borderId="0" xfId="0" applyFont="1" applyAlignment="1" applyProtection="1">
      <alignment horizontal="center" vertical="center"/>
      <protection hidden="1"/>
    </xf>
    <xf numFmtId="0" fontId="80" fillId="0" borderId="0" xfId="0" applyFont="1" applyAlignment="1" applyProtection="1">
      <alignment horizontal="center" vertical="center"/>
      <protection hidden="1"/>
    </xf>
    <xf numFmtId="0" fontId="40" fillId="0" borderId="0" xfId="0" applyFont="1" applyAlignment="1" applyProtection="1">
      <alignment horizontal="right" vertical="center"/>
      <protection hidden="1"/>
    </xf>
    <xf numFmtId="0" fontId="40" fillId="0" borderId="1" xfId="0" applyFont="1" applyBorder="1" applyAlignment="1" applyProtection="1">
      <alignment horizontal="center" vertical="center"/>
      <protection hidden="1"/>
    </xf>
    <xf numFmtId="0" fontId="53" fillId="0" borderId="0" xfId="0" applyFont="1" applyAlignment="1" applyProtection="1">
      <alignment horizontal="left" vertical="center" shrinkToFit="1"/>
      <protection hidden="1"/>
    </xf>
    <xf numFmtId="0" fontId="47" fillId="18" borderId="1" xfId="0" applyFont="1" applyFill="1" applyBorder="1" applyAlignment="1" applyProtection="1">
      <alignment horizontal="left" vertical="center"/>
      <protection hidden="1"/>
    </xf>
    <xf numFmtId="0" fontId="47" fillId="0" borderId="2" xfId="0" applyFont="1" applyBorder="1" applyAlignment="1" applyProtection="1">
      <alignment horizontal="center" vertical="center"/>
      <protection hidden="1"/>
    </xf>
    <xf numFmtId="0" fontId="47" fillId="0" borderId="10" xfId="0" applyFont="1" applyBorder="1" applyAlignment="1" applyProtection="1">
      <alignment horizontal="center" vertical="center"/>
      <protection hidden="1"/>
    </xf>
    <xf numFmtId="0" fontId="47" fillId="0" borderId="27" xfId="0" applyFont="1" applyBorder="1" applyAlignment="1" applyProtection="1">
      <alignment horizontal="center" vertical="center"/>
      <protection hidden="1"/>
    </xf>
    <xf numFmtId="0" fontId="89" fillId="0" borderId="0" xfId="0" applyFont="1" applyAlignment="1" applyProtection="1">
      <alignment horizontal="center" vertical="center" shrinkToFit="1"/>
      <protection hidden="1"/>
    </xf>
    <xf numFmtId="0" fontId="47" fillId="27" borderId="2" xfId="0" applyFont="1" applyFill="1" applyBorder="1" applyAlignment="1" applyProtection="1">
      <alignment horizontal="center" vertical="center"/>
      <protection hidden="1"/>
    </xf>
    <xf numFmtId="0" fontId="47" fillId="27" borderId="10" xfId="0" applyFont="1" applyFill="1" applyBorder="1" applyAlignment="1" applyProtection="1">
      <alignment horizontal="center" vertical="center"/>
      <protection hidden="1"/>
    </xf>
    <xf numFmtId="0" fontId="47" fillId="27" borderId="27" xfId="0" applyFont="1" applyFill="1" applyBorder="1" applyAlignment="1" applyProtection="1">
      <alignment horizontal="center" vertical="center"/>
      <protection hidden="1"/>
    </xf>
    <xf numFmtId="0" fontId="47" fillId="27" borderId="1" xfId="0" applyFont="1" applyFill="1" applyBorder="1" applyAlignment="1" applyProtection="1">
      <alignment horizontal="center" vertical="center"/>
      <protection hidden="1"/>
    </xf>
    <xf numFmtId="0" fontId="47" fillId="0" borderId="1" xfId="0" applyFont="1" applyBorder="1" applyAlignment="1" applyProtection="1">
      <alignment horizontal="left" vertical="center"/>
      <protection hidden="1"/>
    </xf>
    <xf numFmtId="0" fontId="47" fillId="27" borderId="18" xfId="0" applyFont="1" applyFill="1" applyBorder="1" applyAlignment="1" applyProtection="1">
      <alignment horizontal="center" vertical="center"/>
      <protection hidden="1"/>
    </xf>
    <xf numFmtId="0" fontId="47" fillId="27" borderId="19" xfId="0" applyFont="1" applyFill="1" applyBorder="1" applyAlignment="1" applyProtection="1">
      <alignment horizontal="center" vertical="center"/>
      <protection hidden="1"/>
    </xf>
    <xf numFmtId="0" fontId="47" fillId="27" borderId="20" xfId="0" applyFont="1" applyFill="1" applyBorder="1" applyAlignment="1" applyProtection="1">
      <alignment horizontal="center" vertical="center"/>
      <protection hidden="1"/>
    </xf>
    <xf numFmtId="0" fontId="47" fillId="0" borderId="55" xfId="0" applyFont="1" applyBorder="1" applyAlignment="1" applyProtection="1">
      <alignment horizontal="left" vertical="center"/>
      <protection hidden="1"/>
    </xf>
    <xf numFmtId="0" fontId="47" fillId="0" borderId="71" xfId="0" applyFont="1" applyBorder="1" applyAlignment="1" applyProtection="1">
      <alignment horizontal="left" vertical="center"/>
      <protection hidden="1"/>
    </xf>
    <xf numFmtId="0" fontId="47" fillId="0" borderId="57" xfId="0" applyFont="1" applyBorder="1" applyAlignment="1" applyProtection="1">
      <alignment horizontal="left" vertical="center"/>
      <protection hidden="1"/>
    </xf>
    <xf numFmtId="0" fontId="47" fillId="0" borderId="2" xfId="0" applyFont="1" applyBorder="1" applyAlignment="1" applyProtection="1">
      <alignment horizontal="left" vertical="center"/>
      <protection hidden="1"/>
    </xf>
    <xf numFmtId="0" fontId="47" fillId="0" borderId="10" xfId="0" applyFont="1" applyBorder="1" applyAlignment="1" applyProtection="1">
      <alignment horizontal="left" vertical="center"/>
      <protection hidden="1"/>
    </xf>
    <xf numFmtId="0" fontId="47" fillId="0" borderId="27" xfId="0" applyFont="1" applyBorder="1" applyAlignment="1" applyProtection="1">
      <alignment horizontal="left" vertical="center"/>
      <protection hidden="1"/>
    </xf>
    <xf numFmtId="0" fontId="47" fillId="0" borderId="58" xfId="0" applyFont="1" applyBorder="1" applyAlignment="1" applyProtection="1">
      <alignment horizontal="left" vertical="center"/>
      <protection hidden="1"/>
    </xf>
    <xf numFmtId="0" fontId="47" fillId="0" borderId="206" xfId="0" applyFont="1" applyBorder="1" applyAlignment="1" applyProtection="1">
      <alignment horizontal="left" vertical="center"/>
      <protection hidden="1"/>
    </xf>
    <xf numFmtId="0" fontId="47" fillId="0" borderId="207" xfId="0" applyFont="1" applyBorder="1" applyAlignment="1" applyProtection="1">
      <alignment horizontal="left" vertical="center"/>
      <protection hidden="1"/>
    </xf>
    <xf numFmtId="0" fontId="6" fillId="18" borderId="1" xfId="0" applyFont="1" applyFill="1" applyBorder="1" applyAlignment="1" applyProtection="1">
      <alignment horizontal="left" vertical="center"/>
      <protection hidden="1"/>
    </xf>
    <xf numFmtId="0" fontId="6" fillId="0" borderId="57" xfId="0" applyFont="1" applyBorder="1" applyAlignment="1" applyProtection="1">
      <alignment horizontal="center" vertical="center" shrinkToFit="1"/>
      <protection hidden="1"/>
    </xf>
    <xf numFmtId="183" fontId="6" fillId="0" borderId="57" xfId="0" applyNumberFormat="1" applyFont="1" applyBorder="1" applyAlignment="1" applyProtection="1">
      <alignment horizontal="center" vertical="center"/>
      <protection hidden="1"/>
    </xf>
    <xf numFmtId="184" fontId="6" fillId="0" borderId="57" xfId="0" applyNumberFormat="1" applyFont="1" applyBorder="1" applyAlignment="1" applyProtection="1">
      <alignment horizontal="center" vertical="center"/>
      <protection hidden="1"/>
    </xf>
    <xf numFmtId="0" fontId="73" fillId="28" borderId="57" xfId="0" applyFont="1" applyFill="1" applyBorder="1" applyAlignment="1" applyProtection="1">
      <alignment horizontal="left" vertical="center" shrinkToFit="1"/>
      <protection locked="0"/>
    </xf>
    <xf numFmtId="0" fontId="40" fillId="0" borderId="0" xfId="0" applyFont="1" applyAlignment="1" applyProtection="1">
      <alignment horizontal="center" vertical="center"/>
      <protection hidden="1"/>
    </xf>
    <xf numFmtId="0" fontId="90" fillId="0" borderId="0" xfId="0" applyFont="1" applyAlignment="1" applyProtection="1">
      <alignment horizontal="left" vertical="center" shrinkToFit="1"/>
      <protection hidden="1"/>
    </xf>
    <xf numFmtId="49" fontId="47" fillId="5" borderId="1" xfId="0" applyNumberFormat="1" applyFont="1" applyFill="1" applyBorder="1" applyAlignment="1" applyProtection="1">
      <alignment horizontal="center" vertical="center" shrinkToFit="1"/>
      <protection hidden="1"/>
    </xf>
    <xf numFmtId="0" fontId="47" fillId="5" borderId="1" xfId="0" applyFont="1" applyFill="1" applyBorder="1" applyAlignment="1" applyProtection="1">
      <alignment horizontal="left" vertical="center" shrinkToFit="1"/>
      <protection hidden="1"/>
    </xf>
    <xf numFmtId="0" fontId="6" fillId="0" borderId="56" xfId="0" applyFont="1" applyBorder="1" applyAlignment="1" applyProtection="1">
      <alignment horizontal="center" vertical="center" shrinkToFit="1"/>
      <protection hidden="1"/>
    </xf>
    <xf numFmtId="0" fontId="47" fillId="5" borderId="1" xfId="0" applyFont="1" applyFill="1" applyBorder="1" applyAlignment="1" applyProtection="1">
      <alignment horizontal="center" vertical="center"/>
      <protection hidden="1"/>
    </xf>
    <xf numFmtId="183" fontId="6" fillId="0" borderId="56" xfId="0" applyNumberFormat="1" applyFont="1" applyBorder="1" applyAlignment="1" applyProtection="1">
      <alignment horizontal="center" vertical="center"/>
      <protection hidden="1"/>
    </xf>
    <xf numFmtId="184" fontId="6" fillId="0" borderId="56" xfId="0" applyNumberFormat="1" applyFont="1" applyBorder="1" applyAlignment="1" applyProtection="1">
      <alignment horizontal="center" vertical="center"/>
      <protection hidden="1"/>
    </xf>
    <xf numFmtId="0" fontId="73" fillId="28" borderId="187" xfId="0" applyFont="1" applyFill="1" applyBorder="1" applyAlignment="1" applyProtection="1">
      <alignment horizontal="left" vertical="center" shrinkToFit="1"/>
      <protection locked="0"/>
    </xf>
    <xf numFmtId="0" fontId="91" fillId="0" borderId="0" xfId="0" applyFont="1" applyAlignment="1" applyProtection="1">
      <alignment horizontal="center" vertical="center" shrinkToFit="1"/>
      <protection hidden="1"/>
    </xf>
    <xf numFmtId="0" fontId="47" fillId="5" borderId="1" xfId="0" applyFont="1" applyFill="1" applyBorder="1" applyAlignment="1" applyProtection="1">
      <alignment horizontal="center" vertical="center" wrapText="1"/>
      <protection hidden="1"/>
    </xf>
    <xf numFmtId="14" fontId="47" fillId="5" borderId="1" xfId="0" applyNumberFormat="1" applyFont="1" applyFill="1" applyBorder="1" applyAlignment="1" applyProtection="1">
      <alignment horizontal="center" vertical="center"/>
      <protection hidden="1"/>
    </xf>
    <xf numFmtId="0" fontId="6" fillId="0" borderId="58" xfId="0" applyFont="1" applyBorder="1" applyAlignment="1" applyProtection="1">
      <alignment horizontal="center" vertical="center" shrinkToFit="1"/>
      <protection hidden="1"/>
    </xf>
    <xf numFmtId="183" fontId="6" fillId="0" borderId="58" xfId="0" applyNumberFormat="1" applyFont="1" applyBorder="1" applyAlignment="1" applyProtection="1">
      <alignment horizontal="center" vertical="center"/>
      <protection hidden="1"/>
    </xf>
    <xf numFmtId="184" fontId="6" fillId="0" borderId="58" xfId="0" applyNumberFormat="1" applyFont="1" applyBorder="1" applyAlignment="1" applyProtection="1">
      <alignment horizontal="center" vertical="center"/>
      <protection hidden="1"/>
    </xf>
    <xf numFmtId="0" fontId="73" fillId="28" borderId="58" xfId="0" applyFont="1" applyFill="1" applyBorder="1" applyAlignment="1" applyProtection="1">
      <alignment horizontal="left" vertical="center" shrinkToFit="1"/>
      <protection locked="0"/>
    </xf>
    <xf numFmtId="0" fontId="63" fillId="0" borderId="1" xfId="0" applyFont="1" applyBorder="1" applyAlignment="1">
      <alignment horizontal="right" vertical="center"/>
    </xf>
    <xf numFmtId="0" fontId="63" fillId="0" borderId="1" xfId="0" applyFont="1" applyBorder="1" applyAlignment="1" applyProtection="1">
      <alignment horizontal="center" vertical="center"/>
      <protection hidden="1"/>
    </xf>
    <xf numFmtId="0" fontId="63" fillId="0" borderId="55" xfId="0" applyFont="1" applyBorder="1" applyAlignment="1" applyProtection="1">
      <alignment horizontal="center" vertical="center"/>
      <protection hidden="1"/>
    </xf>
    <xf numFmtId="0" fontId="63" fillId="0" borderId="13" xfId="0" applyFont="1" applyBorder="1" applyAlignment="1">
      <alignment horizontal="center" vertical="center"/>
    </xf>
    <xf numFmtId="0" fontId="63" fillId="0" borderId="15" xfId="0" applyFont="1" applyBorder="1" applyAlignment="1">
      <alignment horizontal="center" vertical="center"/>
    </xf>
    <xf numFmtId="0" fontId="63" fillId="0" borderId="44" xfId="0" applyFont="1" applyBorder="1" applyAlignment="1">
      <alignment horizontal="center" vertical="center"/>
    </xf>
    <xf numFmtId="0" fontId="63" fillId="0" borderId="0" xfId="0" applyFont="1" applyAlignment="1">
      <alignment horizontal="center" vertical="center"/>
    </xf>
    <xf numFmtId="0" fontId="63" fillId="0" borderId="10" xfId="0" applyFont="1" applyBorder="1" applyAlignment="1">
      <alignment horizontal="center" vertical="center"/>
    </xf>
    <xf numFmtId="0" fontId="63" fillId="0" borderId="27" xfId="0" applyFont="1" applyBorder="1" applyAlignment="1">
      <alignment horizontal="center" vertical="center"/>
    </xf>
    <xf numFmtId="0" fontId="63" fillId="0" borderId="59" xfId="0" applyFont="1" applyBorder="1" applyAlignment="1">
      <alignment horizontal="center" vertical="center"/>
    </xf>
    <xf numFmtId="0" fontId="63" fillId="0" borderId="1" xfId="0" applyFont="1" applyBorder="1" applyAlignment="1">
      <alignment horizontal="center" vertical="center"/>
    </xf>
    <xf numFmtId="0" fontId="113" fillId="31" borderId="1" xfId="3" applyFont="1" applyFill="1" applyBorder="1" applyAlignment="1" applyProtection="1">
      <alignment horizontal="center" vertical="center" shrinkToFit="1"/>
      <protection hidden="1"/>
    </xf>
    <xf numFmtId="0" fontId="113" fillId="31" borderId="37" xfId="3" applyFont="1" applyFill="1" applyBorder="1" applyAlignment="1" applyProtection="1">
      <alignment horizontal="center" vertical="center" shrinkToFit="1"/>
      <protection hidden="1"/>
    </xf>
    <xf numFmtId="0" fontId="113" fillId="31" borderId="2" xfId="3" applyFont="1" applyFill="1" applyBorder="1" applyAlignment="1" applyProtection="1">
      <alignment horizontal="center" vertical="center" shrinkToFit="1"/>
      <protection hidden="1"/>
    </xf>
    <xf numFmtId="0" fontId="113" fillId="31" borderId="10" xfId="3" applyFont="1" applyFill="1" applyBorder="1" applyAlignment="1" applyProtection="1">
      <alignment horizontal="center" vertical="center" shrinkToFit="1"/>
      <protection hidden="1"/>
    </xf>
    <xf numFmtId="0" fontId="113" fillId="31" borderId="27" xfId="3" applyFont="1" applyFill="1" applyBorder="1" applyAlignment="1" applyProtection="1">
      <alignment horizontal="center" vertical="center" shrinkToFit="1"/>
      <protection hidden="1"/>
    </xf>
    <xf numFmtId="0" fontId="108" fillId="32" borderId="39" xfId="3" applyFont="1" applyFill="1" applyBorder="1" applyAlignment="1">
      <alignment horizontal="center" vertical="center"/>
    </xf>
    <xf numFmtId="0" fontId="108" fillId="32" borderId="1" xfId="3" applyFont="1" applyFill="1" applyBorder="1" applyAlignment="1">
      <alignment horizontal="center" vertical="center"/>
    </xf>
    <xf numFmtId="0" fontId="105" fillId="31" borderId="1" xfId="3" applyFont="1" applyFill="1" applyBorder="1" applyAlignment="1" applyProtection="1">
      <alignment horizontal="center" vertical="center"/>
      <protection hidden="1"/>
    </xf>
    <xf numFmtId="0" fontId="105" fillId="31" borderId="65" xfId="3" applyFont="1" applyFill="1" applyBorder="1" applyAlignment="1" applyProtection="1">
      <alignment horizontal="center" vertical="center"/>
      <protection hidden="1"/>
    </xf>
    <xf numFmtId="0" fontId="108" fillId="32" borderId="2" xfId="3" applyFont="1" applyFill="1" applyBorder="1" applyAlignment="1">
      <alignment horizontal="center" vertical="center"/>
    </xf>
    <xf numFmtId="0" fontId="108" fillId="32" borderId="10" xfId="3" applyFont="1" applyFill="1" applyBorder="1" applyAlignment="1">
      <alignment horizontal="center" vertical="center"/>
    </xf>
    <xf numFmtId="0" fontId="108" fillId="32" borderId="27" xfId="3" applyFont="1" applyFill="1" applyBorder="1" applyAlignment="1">
      <alignment horizontal="center" vertical="center"/>
    </xf>
    <xf numFmtId="0" fontId="103" fillId="31" borderId="0" xfId="3" applyFont="1" applyFill="1" applyAlignment="1">
      <alignment horizontal="center" vertical="center"/>
    </xf>
    <xf numFmtId="0" fontId="105" fillId="32" borderId="165" xfId="3" applyFont="1" applyFill="1" applyBorder="1" applyAlignment="1">
      <alignment horizontal="center" vertical="center"/>
    </xf>
    <xf numFmtId="0" fontId="105" fillId="32" borderId="28" xfId="3" applyFont="1" applyFill="1" applyBorder="1" applyAlignment="1">
      <alignment horizontal="center" vertical="center"/>
    </xf>
    <xf numFmtId="0" fontId="106" fillId="31" borderId="43" xfId="3" applyFont="1" applyFill="1" applyBorder="1" applyAlignment="1" applyProtection="1">
      <alignment horizontal="center" vertical="center" shrinkToFit="1"/>
      <protection hidden="1"/>
    </xf>
    <xf numFmtId="0" fontId="106" fillId="31" borderId="28" xfId="3" applyFont="1" applyFill="1" applyBorder="1" applyAlignment="1" applyProtection="1">
      <alignment horizontal="center" vertical="center" shrinkToFit="1"/>
      <protection hidden="1"/>
    </xf>
    <xf numFmtId="0" fontId="105" fillId="31" borderId="28" xfId="3" applyFont="1" applyFill="1" applyBorder="1" applyAlignment="1" applyProtection="1">
      <alignment horizontal="center" vertical="center"/>
      <protection hidden="1"/>
    </xf>
    <xf numFmtId="0" fontId="105" fillId="31" borderId="31" xfId="3" applyFont="1" applyFill="1" applyBorder="1" applyAlignment="1" applyProtection="1">
      <alignment horizontal="center" vertical="center"/>
      <protection hidden="1"/>
    </xf>
  </cellXfs>
  <cellStyles count="4">
    <cellStyle name="ハイパーリンク" xfId="1" builtinId="8"/>
    <cellStyle name="標準" xfId="0" builtinId="0"/>
    <cellStyle name="標準 2" xfId="2" xr:uid="{00000000-0005-0000-0000-000002000000}"/>
    <cellStyle name="標準 3" xfId="3" xr:uid="{00000000-0005-0000-0000-000003000000}"/>
  </cellStyles>
  <dxfs count="49">
    <dxf>
      <fill>
        <patternFill>
          <bgColor rgb="FFFFCCFF"/>
        </patternFill>
      </fill>
    </dxf>
    <dxf>
      <fill>
        <patternFill>
          <bgColor rgb="FFCCFFFF"/>
        </patternFill>
      </fill>
    </dxf>
    <dxf>
      <fill>
        <patternFill>
          <bgColor rgb="FFFFCCFF"/>
        </patternFill>
      </fill>
    </dxf>
    <dxf>
      <fill>
        <patternFill>
          <bgColor rgb="FFFFCCFF"/>
        </patternFill>
      </fill>
    </dxf>
    <dxf>
      <fill>
        <patternFill>
          <bgColor rgb="FFCCFFFF"/>
        </patternFill>
      </fill>
    </dxf>
    <dxf>
      <fill>
        <patternFill>
          <bgColor rgb="FFFFCCFF"/>
        </patternFill>
      </fill>
    </dxf>
    <dxf>
      <fill>
        <patternFill>
          <bgColor theme="0"/>
        </patternFill>
      </fill>
    </dxf>
    <dxf>
      <fill>
        <patternFill>
          <bgColor rgb="FFFFCCFF"/>
        </patternFill>
      </fill>
    </dxf>
    <dxf>
      <font>
        <color auto="1"/>
      </font>
      <fill>
        <patternFill>
          <bgColor rgb="FFCCFFFF"/>
        </patternFill>
      </fill>
    </dxf>
    <dxf>
      <fill>
        <patternFill>
          <bgColor rgb="FFFFFFCC"/>
        </patternFill>
      </fill>
    </dxf>
    <dxf>
      <fill>
        <patternFill>
          <bgColor rgb="FFCCFFFF"/>
        </patternFill>
      </fill>
    </dxf>
    <dxf>
      <fill>
        <patternFill>
          <bgColor rgb="FFFFCCFF"/>
        </patternFill>
      </fill>
    </dxf>
    <dxf>
      <fill>
        <patternFill>
          <bgColor rgb="FFDDDDDD"/>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ont>
        <color rgb="FFFF0000"/>
      </font>
      <fill>
        <patternFill>
          <bgColor theme="0"/>
        </patternFill>
      </fill>
    </dxf>
    <dxf>
      <fill>
        <patternFill>
          <bgColor rgb="FFFF99FF"/>
        </patternFill>
      </fill>
    </dxf>
    <dxf>
      <fill>
        <patternFill>
          <bgColor rgb="FFFF99FF"/>
        </patternFill>
      </fill>
    </dxf>
    <dxf>
      <fill>
        <patternFill>
          <bgColor rgb="FFFF99FF"/>
        </patternFill>
      </fill>
    </dxf>
    <dxf>
      <font>
        <color rgb="FFFF0000"/>
      </font>
      <fill>
        <patternFill>
          <bgColor theme="0"/>
        </patternFill>
      </fill>
    </dxf>
    <dxf>
      <fill>
        <patternFill>
          <bgColor rgb="FFFF99FF"/>
        </patternFill>
      </fill>
    </dxf>
    <dxf>
      <fill>
        <patternFill>
          <bgColor rgb="FFFF99FF"/>
        </patternFill>
      </fill>
    </dxf>
    <dxf>
      <fill>
        <patternFill>
          <bgColor rgb="FFDDDDDD"/>
        </patternFill>
      </fill>
    </dxf>
    <dxf>
      <fill>
        <patternFill>
          <bgColor rgb="FFFF99FF"/>
        </patternFill>
      </fill>
    </dxf>
    <dxf>
      <fill>
        <patternFill>
          <bgColor rgb="FFDDDDDD"/>
        </patternFill>
      </fill>
    </dxf>
    <dxf>
      <fill>
        <patternFill>
          <bgColor rgb="FFFF99FF"/>
        </patternFill>
      </fill>
    </dxf>
    <dxf>
      <fill>
        <patternFill>
          <bgColor rgb="FFFF99FF"/>
        </patternFill>
      </fill>
    </dxf>
    <dxf>
      <fill>
        <patternFill>
          <bgColor rgb="FFFF99FF"/>
        </patternFill>
      </fill>
    </dxf>
    <dxf>
      <font>
        <color rgb="FFDDDDDD"/>
      </font>
    </dxf>
    <dxf>
      <font>
        <b val="0"/>
        <i val="0"/>
        <color rgb="FFDDDDDD"/>
      </font>
    </dxf>
    <dxf>
      <font>
        <color rgb="FF0000FF"/>
        <name val="ＭＳ Ｐゴシック"/>
        <scheme val="none"/>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0000FF"/>
        <name val="ＭＳ Ｐゴシック"/>
        <scheme val="none"/>
      </font>
    </dxf>
  </dxfs>
  <tableStyles count="0" defaultTableStyle="TableStyleMedium2" defaultPivotStyle="PivotStyleMedium9"/>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A$57" lockText="1" noThreeD="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CheckBox" fmlaLink="$CA$59" lockText="1" noThreeD="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CheckBox" fmlaLink="BJ22" lockText="1" noThreeD="1"/>
</file>

<file path=xl/ctrlProps/ctrlProp23.xml><?xml version="1.0" encoding="utf-8"?>
<formControlPr xmlns="http://schemas.microsoft.com/office/spreadsheetml/2009/9/main" objectType="CheckBox" fmlaLink="BJ23" lockText="1" noThreeD="1"/>
</file>

<file path=xl/ctrlProps/ctrlProp24.xml><?xml version="1.0" encoding="utf-8"?>
<formControlPr xmlns="http://schemas.microsoft.com/office/spreadsheetml/2009/9/main" objectType="CheckBox" fmlaLink="BJ24" lockText="1" noThreeD="1"/>
</file>

<file path=xl/ctrlProps/ctrlProp25.xml><?xml version="1.0" encoding="utf-8"?>
<formControlPr xmlns="http://schemas.microsoft.com/office/spreadsheetml/2009/9/main" objectType="CheckBox" fmlaLink="BJ25" lockText="1" noThreeD="1"/>
</file>

<file path=xl/ctrlProps/ctrlProp26.xml><?xml version="1.0" encoding="utf-8"?>
<formControlPr xmlns="http://schemas.microsoft.com/office/spreadsheetml/2009/9/main" objectType="CheckBox" fmlaLink="BJ26" lockText="1" noThreeD="1"/>
</file>

<file path=xl/ctrlProps/ctrlProp27.xml><?xml version="1.0" encoding="utf-8"?>
<formControlPr xmlns="http://schemas.microsoft.com/office/spreadsheetml/2009/9/main" objectType="CheckBox" fmlaLink="BJ27" lockText="1" noThreeD="1"/>
</file>

<file path=xl/ctrlProps/ctrlProp28.xml><?xml version="1.0" encoding="utf-8"?>
<formControlPr xmlns="http://schemas.microsoft.com/office/spreadsheetml/2009/9/main" objectType="CheckBox" fmlaLink="BJ28" lockText="1" noThreeD="1"/>
</file>

<file path=xl/ctrlProps/ctrlProp29.xml><?xml version="1.0" encoding="utf-8"?>
<formControlPr xmlns="http://schemas.microsoft.com/office/spreadsheetml/2009/9/main" objectType="CheckBox" fmlaLink="BJ29" lockText="1" noThreeD="1"/>
</file>

<file path=xl/ctrlProps/ctrlProp3.xml><?xml version="1.0" encoding="utf-8"?>
<formControlPr xmlns="http://schemas.microsoft.com/office/spreadsheetml/2009/9/main" objectType="Radio" firstButton="1" fmlaLink="$AA$22" lockText="1"/>
</file>

<file path=xl/ctrlProps/ctrlProp30.xml><?xml version="1.0" encoding="utf-8"?>
<formControlPr xmlns="http://schemas.microsoft.com/office/spreadsheetml/2009/9/main" objectType="CheckBox" fmlaLink="BJ30" lockText="1" noThreeD="1"/>
</file>

<file path=xl/ctrlProps/ctrlProp31.xml><?xml version="1.0" encoding="utf-8"?>
<formControlPr xmlns="http://schemas.microsoft.com/office/spreadsheetml/2009/9/main" objectType="CheckBox" fmlaLink="BJ31" lockText="1" noThreeD="1"/>
</file>

<file path=xl/ctrlProps/ctrlProp32.xml><?xml version="1.0" encoding="utf-8"?>
<formControlPr xmlns="http://schemas.microsoft.com/office/spreadsheetml/2009/9/main" objectType="CheckBox" fmlaLink="BJ32" lockText="1" noThreeD="1"/>
</file>

<file path=xl/ctrlProps/ctrlProp33.xml><?xml version="1.0" encoding="utf-8"?>
<formControlPr xmlns="http://schemas.microsoft.com/office/spreadsheetml/2009/9/main" objectType="CheckBox" fmlaLink="BJ33" lockText="1" noThreeD="1"/>
</file>

<file path=xl/ctrlProps/ctrlProp34.xml><?xml version="1.0" encoding="utf-8"?>
<formControlPr xmlns="http://schemas.microsoft.com/office/spreadsheetml/2009/9/main" objectType="CheckBox" fmlaLink="BJ34" lockText="1" noThreeD="1"/>
</file>

<file path=xl/ctrlProps/ctrlProp35.xml><?xml version="1.0" encoding="utf-8"?>
<formControlPr xmlns="http://schemas.microsoft.com/office/spreadsheetml/2009/9/main" objectType="CheckBox" fmlaLink="BJ35" lockText="1" noThreeD="1"/>
</file>

<file path=xl/ctrlProps/ctrlProp36.xml><?xml version="1.0" encoding="utf-8"?>
<formControlPr xmlns="http://schemas.microsoft.com/office/spreadsheetml/2009/9/main" objectType="CheckBox" fmlaLink="BJ36" lockText="1" noThreeD="1"/>
</file>

<file path=xl/ctrlProps/ctrlProp37.xml><?xml version="1.0" encoding="utf-8"?>
<formControlPr xmlns="http://schemas.microsoft.com/office/spreadsheetml/2009/9/main" objectType="CheckBox" fmlaLink="BJ37" lockText="1" noThreeD="1"/>
</file>

<file path=xl/ctrlProps/ctrlProp38.xml><?xml version="1.0" encoding="utf-8"?>
<formControlPr xmlns="http://schemas.microsoft.com/office/spreadsheetml/2009/9/main" objectType="CheckBox" fmlaLink="BJ38" lockText="1" noThreeD="1"/>
</file>

<file path=xl/ctrlProps/ctrlProp39.xml><?xml version="1.0" encoding="utf-8"?>
<formControlPr xmlns="http://schemas.microsoft.com/office/spreadsheetml/2009/9/main" objectType="CheckBox" fmlaLink="BJ39" lockText="1" noThreeD="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250</xdr:row>
      <xdr:rowOff>38100</xdr:rowOff>
    </xdr:from>
    <xdr:to>
      <xdr:col>34</xdr:col>
      <xdr:colOff>66675</xdr:colOff>
      <xdr:row>265</xdr:row>
      <xdr:rowOff>47625</xdr:rowOff>
    </xdr:to>
    <xdr:pic>
      <xdr:nvPicPr>
        <xdr:cNvPr id="57730" name="図 18">
          <a:extLst>
            <a:ext uri="{FF2B5EF4-FFF2-40B4-BE49-F238E27FC236}">
              <a16:creationId xmlns:a16="http://schemas.microsoft.com/office/drawing/2014/main" id="{00000000-0008-0000-0200-000082E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 y="40557450"/>
          <a:ext cx="6010275" cy="2724150"/>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57150</xdr:colOff>
      <xdr:row>231</xdr:row>
      <xdr:rowOff>28575</xdr:rowOff>
    </xdr:from>
    <xdr:to>
      <xdr:col>34</xdr:col>
      <xdr:colOff>66675</xdr:colOff>
      <xdr:row>245</xdr:row>
      <xdr:rowOff>123825</xdr:rowOff>
    </xdr:to>
    <xdr:grpSp>
      <xdr:nvGrpSpPr>
        <xdr:cNvPr id="57731" name="グループ化 17">
          <a:extLst>
            <a:ext uri="{FF2B5EF4-FFF2-40B4-BE49-F238E27FC236}">
              <a16:creationId xmlns:a16="http://schemas.microsoft.com/office/drawing/2014/main" id="{00000000-0008-0000-0200-000083E10000}"/>
            </a:ext>
          </a:extLst>
        </xdr:cNvPr>
        <xdr:cNvGrpSpPr>
          <a:grpSpLocks/>
        </xdr:cNvGrpSpPr>
      </xdr:nvGrpSpPr>
      <xdr:grpSpPr bwMode="auto">
        <a:xfrm>
          <a:off x="1253836" y="36896386"/>
          <a:ext cx="5619750" cy="2389909"/>
          <a:chOff x="1343025" y="37252275"/>
          <a:chExt cx="6010275" cy="2628901"/>
        </a:xfrm>
      </xdr:grpSpPr>
      <xdr:pic>
        <xdr:nvPicPr>
          <xdr:cNvPr id="57767" name="図 11">
            <a:extLst>
              <a:ext uri="{FF2B5EF4-FFF2-40B4-BE49-F238E27FC236}">
                <a16:creationId xmlns:a16="http://schemas.microsoft.com/office/drawing/2014/main" id="{00000000-0008-0000-0200-0000A7E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3026" y="38681026"/>
            <a:ext cx="6010274" cy="1200150"/>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pic>
      <xdr:pic>
        <xdr:nvPicPr>
          <xdr:cNvPr id="57768" name="図 10">
            <a:extLst>
              <a:ext uri="{FF2B5EF4-FFF2-40B4-BE49-F238E27FC236}">
                <a16:creationId xmlns:a16="http://schemas.microsoft.com/office/drawing/2014/main" id="{00000000-0008-0000-0200-0000A8E1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43025" y="37252275"/>
            <a:ext cx="6010275" cy="1200149"/>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133350</xdr:colOff>
      <xdr:row>213</xdr:row>
      <xdr:rowOff>47625</xdr:rowOff>
    </xdr:from>
    <xdr:to>
      <xdr:col>18</xdr:col>
      <xdr:colOff>180669</xdr:colOff>
      <xdr:row>220</xdr:row>
      <xdr:rowOff>9371</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1819275" y="33870900"/>
          <a:ext cx="2447619" cy="1228571"/>
        </a:xfrm>
        <a:prstGeom prst="rect">
          <a:avLst/>
        </a:prstGeom>
        <a:ln w="9525">
          <a:solidFill>
            <a:schemeClr val="tx1"/>
          </a:solidFill>
          <a:prstDash val="sysDot"/>
        </a:ln>
        <a:effectLst>
          <a:outerShdw blurRad="50800" dist="38100" dir="10800000" algn="r" rotWithShape="0">
            <a:prstClr val="black">
              <a:alpha val="40000"/>
            </a:prstClr>
          </a:outerShdw>
        </a:effectLst>
      </xdr:spPr>
    </xdr:pic>
    <xdr:clientData/>
  </xdr:twoCellAnchor>
  <xdr:twoCellAnchor editAs="oneCell">
    <xdr:from>
      <xdr:col>21</xdr:col>
      <xdr:colOff>133350</xdr:colOff>
      <xdr:row>205</xdr:row>
      <xdr:rowOff>28575</xdr:rowOff>
    </xdr:from>
    <xdr:to>
      <xdr:col>33</xdr:col>
      <xdr:colOff>142574</xdr:colOff>
      <xdr:row>211</xdr:row>
      <xdr:rowOff>171296</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a:stretch>
          <a:fillRect/>
        </a:stretch>
      </xdr:blipFill>
      <xdr:spPr>
        <a:xfrm>
          <a:off x="4819650" y="32404050"/>
          <a:ext cx="2409524" cy="1228571"/>
        </a:xfrm>
        <a:prstGeom prst="rect">
          <a:avLst/>
        </a:prstGeom>
        <a:ln w="9525">
          <a:solidFill>
            <a:schemeClr val="tx1"/>
          </a:solidFill>
          <a:prstDash val="sysDot"/>
        </a:ln>
        <a:effectLst>
          <a:outerShdw blurRad="50800" dist="38100" dir="10800000" algn="r" rotWithShape="0">
            <a:prstClr val="black">
              <a:alpha val="40000"/>
            </a:prstClr>
          </a:outerShdw>
        </a:effectLst>
      </xdr:spPr>
    </xdr:pic>
    <xdr:clientData/>
  </xdr:twoCellAnchor>
  <xdr:twoCellAnchor editAs="oneCell">
    <xdr:from>
      <xdr:col>6</xdr:col>
      <xdr:colOff>152400</xdr:colOff>
      <xdr:row>200</xdr:row>
      <xdr:rowOff>123825</xdr:rowOff>
    </xdr:from>
    <xdr:to>
      <xdr:col>18</xdr:col>
      <xdr:colOff>161624</xdr:colOff>
      <xdr:row>207</xdr:row>
      <xdr:rowOff>85571</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6"/>
        <a:stretch>
          <a:fillRect/>
        </a:stretch>
      </xdr:blipFill>
      <xdr:spPr>
        <a:xfrm>
          <a:off x="1838325" y="31594425"/>
          <a:ext cx="2409524" cy="1228571"/>
        </a:xfrm>
        <a:prstGeom prst="rect">
          <a:avLst/>
        </a:prstGeom>
        <a:ln w="9525">
          <a:solidFill>
            <a:schemeClr val="tx1"/>
          </a:solidFill>
          <a:prstDash val="sysDot"/>
        </a:ln>
        <a:effectLst>
          <a:outerShdw blurRad="50800" dist="38100" dir="10800000" algn="r" rotWithShape="0">
            <a:prstClr val="black">
              <a:alpha val="40000"/>
            </a:prstClr>
          </a:outerShdw>
        </a:effectLst>
      </xdr:spPr>
    </xdr:pic>
    <xdr:clientData/>
  </xdr:twoCellAnchor>
  <xdr:twoCellAnchor>
    <xdr:from>
      <xdr:col>7</xdr:col>
      <xdr:colOff>66675</xdr:colOff>
      <xdr:row>174</xdr:row>
      <xdr:rowOff>76200</xdr:rowOff>
    </xdr:from>
    <xdr:to>
      <xdr:col>21</xdr:col>
      <xdr:colOff>19050</xdr:colOff>
      <xdr:row>197</xdr:row>
      <xdr:rowOff>9525</xdr:rowOff>
    </xdr:to>
    <xdr:grpSp>
      <xdr:nvGrpSpPr>
        <xdr:cNvPr id="57735" name="グループ化 2">
          <a:extLst>
            <a:ext uri="{FF2B5EF4-FFF2-40B4-BE49-F238E27FC236}">
              <a16:creationId xmlns:a16="http://schemas.microsoft.com/office/drawing/2014/main" id="{00000000-0008-0000-0200-000087E10000}"/>
            </a:ext>
          </a:extLst>
        </xdr:cNvPr>
        <xdr:cNvGrpSpPr>
          <a:grpSpLocks/>
        </xdr:cNvGrpSpPr>
      </xdr:nvGrpSpPr>
      <xdr:grpSpPr bwMode="auto">
        <a:xfrm>
          <a:off x="1823604" y="27319432"/>
          <a:ext cx="2573482" cy="3723409"/>
          <a:chOff x="1952625" y="14792325"/>
          <a:chExt cx="2752725" cy="4095750"/>
        </a:xfrm>
      </xdr:grpSpPr>
      <xdr:pic>
        <xdr:nvPicPr>
          <xdr:cNvPr id="34" name="図 33">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7"/>
          <a:srcRect/>
          <a:stretch>
            <a:fillRect/>
          </a:stretch>
        </xdr:blipFill>
        <xdr:spPr bwMode="auto">
          <a:xfrm>
            <a:off x="2000250" y="14792325"/>
            <a:ext cx="2038350" cy="571500"/>
          </a:xfrm>
          <a:prstGeom prst="rect">
            <a:avLst/>
          </a:prstGeom>
          <a:noFill/>
          <a:ln>
            <a:solidFill>
              <a:sysClr val="windowText" lastClr="000000"/>
            </a:solidFill>
            <a:prstDash val="sysDot"/>
          </a:ln>
          <a:effectLst>
            <a:outerShdw blurRad="50800" dist="38100" dir="18900000" algn="b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sp macro="" textlink="">
        <xdr:nvSpPr>
          <xdr:cNvPr id="5" name="円/楕円 4">
            <a:extLst>
              <a:ext uri="{FF2B5EF4-FFF2-40B4-BE49-F238E27FC236}">
                <a16:creationId xmlns:a16="http://schemas.microsoft.com/office/drawing/2014/main" id="{00000000-0008-0000-0200-000005000000}"/>
              </a:ext>
            </a:extLst>
          </xdr:cNvPr>
          <xdr:cNvSpPr/>
        </xdr:nvSpPr>
        <xdr:spPr bwMode="auto">
          <a:xfrm>
            <a:off x="3695700" y="15001875"/>
            <a:ext cx="323850" cy="352425"/>
          </a:xfrm>
          <a:prstGeom prst="ellipse">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36" name="図 35">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8"/>
          <a:srcRect/>
          <a:stretch>
            <a:fillRect/>
          </a:stretch>
        </xdr:blipFill>
        <xdr:spPr bwMode="auto">
          <a:xfrm>
            <a:off x="1952625" y="15630525"/>
            <a:ext cx="2581275" cy="952500"/>
          </a:xfrm>
          <a:prstGeom prst="rect">
            <a:avLst/>
          </a:prstGeom>
          <a:noFill/>
          <a:ln>
            <a:solidFill>
              <a:sysClr val="windowText" lastClr="000000"/>
            </a:solidFill>
            <a:prstDash val="sysDot"/>
          </a:ln>
          <a:effectLst>
            <a:outerShdw blurRad="50800" dist="38100" dir="18900000" algn="b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sp macro="" textlink="">
        <xdr:nvSpPr>
          <xdr:cNvPr id="6" name="ストライプ矢印 5">
            <a:extLst>
              <a:ext uri="{FF2B5EF4-FFF2-40B4-BE49-F238E27FC236}">
                <a16:creationId xmlns:a16="http://schemas.microsoft.com/office/drawing/2014/main" id="{00000000-0008-0000-0200-000006000000}"/>
              </a:ext>
            </a:extLst>
          </xdr:cNvPr>
          <xdr:cNvSpPr/>
        </xdr:nvSpPr>
        <xdr:spPr bwMode="auto">
          <a:xfrm rot="5400000">
            <a:off x="2881312" y="15416213"/>
            <a:ext cx="295275"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角丸四角形 7">
            <a:extLst>
              <a:ext uri="{FF2B5EF4-FFF2-40B4-BE49-F238E27FC236}">
                <a16:creationId xmlns:a16="http://schemas.microsoft.com/office/drawing/2014/main" id="{00000000-0008-0000-0200-000008000000}"/>
              </a:ext>
            </a:extLst>
          </xdr:cNvPr>
          <xdr:cNvSpPr/>
        </xdr:nvSpPr>
        <xdr:spPr bwMode="auto">
          <a:xfrm>
            <a:off x="2428875" y="16097250"/>
            <a:ext cx="1447800" cy="466725"/>
          </a:xfrm>
          <a:prstGeom prst="roundRect">
            <a:avLst/>
          </a:prstGeom>
          <a:noFill/>
          <a:ln w="2222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加算記号 8">
            <a:extLst>
              <a:ext uri="{FF2B5EF4-FFF2-40B4-BE49-F238E27FC236}">
                <a16:creationId xmlns:a16="http://schemas.microsoft.com/office/drawing/2014/main" id="{00000000-0008-0000-0200-000009000000}"/>
              </a:ext>
            </a:extLst>
          </xdr:cNvPr>
          <xdr:cNvSpPr/>
        </xdr:nvSpPr>
        <xdr:spPr bwMode="auto">
          <a:xfrm>
            <a:off x="3028950" y="14935200"/>
            <a:ext cx="314325" cy="285750"/>
          </a:xfrm>
          <a:prstGeom prst="mathPlus">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 name="左矢印 1">
            <a:extLst>
              <a:ext uri="{FF2B5EF4-FFF2-40B4-BE49-F238E27FC236}">
                <a16:creationId xmlns:a16="http://schemas.microsoft.com/office/drawing/2014/main" id="{00000000-0008-0000-0200-000002000000}"/>
              </a:ext>
            </a:extLst>
          </xdr:cNvPr>
          <xdr:cNvSpPr/>
        </xdr:nvSpPr>
        <xdr:spPr bwMode="auto">
          <a:xfrm rot="3389153">
            <a:off x="4291012" y="16168688"/>
            <a:ext cx="523875" cy="304800"/>
          </a:xfrm>
          <a:prstGeom prst="leftArrow">
            <a:avLst>
              <a:gd name="adj1" fmla="val 24242"/>
              <a:gd name="adj2" fmla="val 72733"/>
            </a:avLst>
          </a:prstGeom>
          <a:solidFill>
            <a:schemeClr val="bg1"/>
          </a:solidFill>
          <a:ln w="9525" cap="sq">
            <a:solidFill>
              <a:sysClr val="windowText" lastClr="00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44" name="図 43">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9"/>
          <a:srcRect/>
          <a:stretch>
            <a:fillRect/>
          </a:stretch>
        </xdr:blipFill>
        <xdr:spPr bwMode="auto">
          <a:xfrm>
            <a:off x="1952625" y="16840200"/>
            <a:ext cx="2590800" cy="1066800"/>
          </a:xfrm>
          <a:prstGeom prst="rect">
            <a:avLst/>
          </a:prstGeom>
          <a:noFill/>
          <a:ln>
            <a:solidFill>
              <a:schemeClr val="tx1"/>
            </a:solidFill>
            <a:prstDash val="sysDot"/>
          </a:ln>
          <a:effectLst>
            <a:outerShdw blurRad="50800" dist="38100" dir="18900000" algn="b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sp macro="" textlink="">
        <xdr:nvSpPr>
          <xdr:cNvPr id="47" name="ストライプ矢印 46">
            <a:extLst>
              <a:ext uri="{FF2B5EF4-FFF2-40B4-BE49-F238E27FC236}">
                <a16:creationId xmlns:a16="http://schemas.microsoft.com/office/drawing/2014/main" id="{00000000-0008-0000-0200-00002F000000}"/>
              </a:ext>
            </a:extLst>
          </xdr:cNvPr>
          <xdr:cNvSpPr/>
        </xdr:nvSpPr>
        <xdr:spPr bwMode="auto">
          <a:xfrm rot="5400000">
            <a:off x="2881312" y="16635413"/>
            <a:ext cx="295275"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0" name="左矢印 49">
            <a:extLst>
              <a:ext uri="{FF2B5EF4-FFF2-40B4-BE49-F238E27FC236}">
                <a16:creationId xmlns:a16="http://schemas.microsoft.com/office/drawing/2014/main" id="{00000000-0008-0000-0200-000032000000}"/>
              </a:ext>
            </a:extLst>
          </xdr:cNvPr>
          <xdr:cNvSpPr/>
        </xdr:nvSpPr>
        <xdr:spPr bwMode="auto">
          <a:xfrm rot="3389153">
            <a:off x="3624262" y="17597438"/>
            <a:ext cx="504825" cy="304800"/>
          </a:xfrm>
          <a:prstGeom prst="leftArrow">
            <a:avLst>
              <a:gd name="adj1" fmla="val 24242"/>
              <a:gd name="adj2" fmla="val 72733"/>
            </a:avLst>
          </a:prstGeom>
          <a:solidFill>
            <a:schemeClr val="bg1"/>
          </a:solidFill>
          <a:ln w="9525" cap="sq">
            <a:solidFill>
              <a:sysClr val="windowText" lastClr="00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54" name="図 53">
            <a:extLst>
              <a:ext uri="{FF2B5EF4-FFF2-40B4-BE49-F238E27FC236}">
                <a16:creationId xmlns:a16="http://schemas.microsoft.com/office/drawing/2014/main" id="{00000000-0008-0000-0200-000036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971675" y="18145125"/>
            <a:ext cx="2657475" cy="742950"/>
          </a:xfrm>
          <a:prstGeom prst="rect">
            <a:avLst/>
          </a:prstGeom>
          <a:noFill/>
          <a:ln>
            <a:solidFill>
              <a:schemeClr val="tx1"/>
            </a:solidFill>
            <a:prstDash val="sysDot"/>
          </a:ln>
          <a:effectLst>
            <a:outerShdw blurRad="50800" dist="38100" dir="18900000" algn="b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sp macro="" textlink="">
        <xdr:nvSpPr>
          <xdr:cNvPr id="55" name="ストライプ矢印 54">
            <a:extLst>
              <a:ext uri="{FF2B5EF4-FFF2-40B4-BE49-F238E27FC236}">
                <a16:creationId xmlns:a16="http://schemas.microsoft.com/office/drawing/2014/main" id="{00000000-0008-0000-0200-000037000000}"/>
              </a:ext>
            </a:extLst>
          </xdr:cNvPr>
          <xdr:cNvSpPr/>
        </xdr:nvSpPr>
        <xdr:spPr bwMode="auto">
          <a:xfrm rot="5400000">
            <a:off x="2886075" y="17954625"/>
            <a:ext cx="285750"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7</xdr:col>
      <xdr:colOff>152400</xdr:colOff>
      <xdr:row>206</xdr:row>
      <xdr:rowOff>66675</xdr:rowOff>
    </xdr:from>
    <xdr:to>
      <xdr:col>9</xdr:col>
      <xdr:colOff>57150</xdr:colOff>
      <xdr:row>209</xdr:row>
      <xdr:rowOff>28575</xdr:rowOff>
    </xdr:to>
    <xdr:sp macro="" textlink="">
      <xdr:nvSpPr>
        <xdr:cNvPr id="58" name="左矢印 57">
          <a:extLst>
            <a:ext uri="{FF2B5EF4-FFF2-40B4-BE49-F238E27FC236}">
              <a16:creationId xmlns:a16="http://schemas.microsoft.com/office/drawing/2014/main" id="{00000000-0008-0000-0200-00003A000000}"/>
            </a:ext>
          </a:extLst>
        </xdr:cNvPr>
        <xdr:cNvSpPr/>
      </xdr:nvSpPr>
      <xdr:spPr bwMode="auto">
        <a:xfrm rot="3389153">
          <a:off x="1938337" y="32723138"/>
          <a:ext cx="504825" cy="304800"/>
        </a:xfrm>
        <a:prstGeom prst="leftArrow">
          <a:avLst>
            <a:gd name="adj1" fmla="val 24242"/>
            <a:gd name="adj2" fmla="val 72733"/>
          </a:avLst>
        </a:prstGeom>
        <a:solidFill>
          <a:schemeClr val="bg1"/>
        </a:solidFill>
        <a:ln w="9525" cap="sq">
          <a:solidFill>
            <a:sysClr val="windowText" lastClr="00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76200</xdr:colOff>
      <xdr:row>205</xdr:row>
      <xdr:rowOff>76200</xdr:rowOff>
    </xdr:from>
    <xdr:to>
      <xdr:col>21</xdr:col>
      <xdr:colOff>47625</xdr:colOff>
      <xdr:row>207</xdr:row>
      <xdr:rowOff>0</xdr:rowOff>
    </xdr:to>
    <xdr:sp macro="" textlink="">
      <xdr:nvSpPr>
        <xdr:cNvPr id="65" name="ストライプ矢印 64">
          <a:extLst>
            <a:ext uri="{FF2B5EF4-FFF2-40B4-BE49-F238E27FC236}">
              <a16:creationId xmlns:a16="http://schemas.microsoft.com/office/drawing/2014/main" id="{00000000-0008-0000-0200-000041000000}"/>
            </a:ext>
          </a:extLst>
        </xdr:cNvPr>
        <xdr:cNvSpPr/>
      </xdr:nvSpPr>
      <xdr:spPr bwMode="auto">
        <a:xfrm>
          <a:off x="4362450" y="33499425"/>
          <a:ext cx="371475"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142875</xdr:colOff>
      <xdr:row>207</xdr:row>
      <xdr:rowOff>47625</xdr:rowOff>
    </xdr:from>
    <xdr:to>
      <xdr:col>24</xdr:col>
      <xdr:colOff>47625</xdr:colOff>
      <xdr:row>210</xdr:row>
      <xdr:rowOff>9525</xdr:rowOff>
    </xdr:to>
    <xdr:sp macro="" textlink="">
      <xdr:nvSpPr>
        <xdr:cNvPr id="68" name="左矢印 67">
          <a:extLst>
            <a:ext uri="{FF2B5EF4-FFF2-40B4-BE49-F238E27FC236}">
              <a16:creationId xmlns:a16="http://schemas.microsoft.com/office/drawing/2014/main" id="{00000000-0008-0000-0200-000044000000}"/>
            </a:ext>
          </a:extLst>
        </xdr:cNvPr>
        <xdr:cNvSpPr/>
      </xdr:nvSpPr>
      <xdr:spPr bwMode="auto">
        <a:xfrm rot="3389153">
          <a:off x="4929187" y="32885063"/>
          <a:ext cx="504825" cy="304800"/>
        </a:xfrm>
        <a:prstGeom prst="leftArrow">
          <a:avLst>
            <a:gd name="adj1" fmla="val 24242"/>
            <a:gd name="adj2" fmla="val 72733"/>
          </a:avLst>
        </a:prstGeom>
        <a:solidFill>
          <a:schemeClr val="bg1"/>
        </a:solidFill>
        <a:ln w="9525" cap="sq">
          <a:solidFill>
            <a:sysClr val="windowText" lastClr="00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85725</xdr:colOff>
      <xdr:row>211</xdr:row>
      <xdr:rowOff>142875</xdr:rowOff>
    </xdr:from>
    <xdr:to>
      <xdr:col>21</xdr:col>
      <xdr:colOff>66675</xdr:colOff>
      <xdr:row>213</xdr:row>
      <xdr:rowOff>66675</xdr:rowOff>
    </xdr:to>
    <xdr:sp macro="" textlink="">
      <xdr:nvSpPr>
        <xdr:cNvPr id="69" name="ストライプ矢印 68">
          <a:extLst>
            <a:ext uri="{FF2B5EF4-FFF2-40B4-BE49-F238E27FC236}">
              <a16:creationId xmlns:a16="http://schemas.microsoft.com/office/drawing/2014/main" id="{00000000-0008-0000-0200-000045000000}"/>
            </a:ext>
          </a:extLst>
        </xdr:cNvPr>
        <xdr:cNvSpPr/>
      </xdr:nvSpPr>
      <xdr:spPr bwMode="auto">
        <a:xfrm rot="9585419">
          <a:off x="4371975" y="33604200"/>
          <a:ext cx="381000"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171450</xdr:colOff>
      <xdr:row>210</xdr:row>
      <xdr:rowOff>19050</xdr:rowOff>
    </xdr:from>
    <xdr:to>
      <xdr:col>23</xdr:col>
      <xdr:colOff>95250</xdr:colOff>
      <xdr:row>212</xdr:row>
      <xdr:rowOff>0</xdr:rowOff>
    </xdr:to>
    <xdr:sp macro="" textlink="">
      <xdr:nvSpPr>
        <xdr:cNvPr id="70" name="円/楕円 69">
          <a:extLst>
            <a:ext uri="{FF2B5EF4-FFF2-40B4-BE49-F238E27FC236}">
              <a16:creationId xmlns:a16="http://schemas.microsoft.com/office/drawing/2014/main" id="{00000000-0008-0000-0200-000046000000}"/>
            </a:ext>
          </a:extLst>
        </xdr:cNvPr>
        <xdr:cNvSpPr/>
      </xdr:nvSpPr>
      <xdr:spPr bwMode="auto">
        <a:xfrm>
          <a:off x="4857750" y="33299400"/>
          <a:ext cx="323850" cy="342900"/>
        </a:xfrm>
        <a:prstGeom prst="ellipse">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171450</xdr:colOff>
      <xdr:row>214</xdr:row>
      <xdr:rowOff>104775</xdr:rowOff>
    </xdr:from>
    <xdr:to>
      <xdr:col>8</xdr:col>
      <xdr:colOff>95250</xdr:colOff>
      <xdr:row>216</xdr:row>
      <xdr:rowOff>95250</xdr:rowOff>
    </xdr:to>
    <xdr:sp macro="" textlink="">
      <xdr:nvSpPr>
        <xdr:cNvPr id="71" name="円/楕円 70">
          <a:extLst>
            <a:ext uri="{FF2B5EF4-FFF2-40B4-BE49-F238E27FC236}">
              <a16:creationId xmlns:a16="http://schemas.microsoft.com/office/drawing/2014/main" id="{00000000-0008-0000-0200-000047000000}"/>
            </a:ext>
          </a:extLst>
        </xdr:cNvPr>
        <xdr:cNvSpPr/>
      </xdr:nvSpPr>
      <xdr:spPr bwMode="auto">
        <a:xfrm>
          <a:off x="1857375" y="34109025"/>
          <a:ext cx="323850" cy="352425"/>
        </a:xfrm>
        <a:prstGeom prst="ellipse">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104775</xdr:colOff>
      <xdr:row>237</xdr:row>
      <xdr:rowOff>66675</xdr:rowOff>
    </xdr:from>
    <xdr:to>
      <xdr:col>5</xdr:col>
      <xdr:colOff>190500</xdr:colOff>
      <xdr:row>238</xdr:row>
      <xdr:rowOff>171450</xdr:rowOff>
    </xdr:to>
    <xdr:sp macro="" textlink="">
      <xdr:nvSpPr>
        <xdr:cNvPr id="29" name="ストライプ矢印 28">
          <a:extLst>
            <a:ext uri="{FF2B5EF4-FFF2-40B4-BE49-F238E27FC236}">
              <a16:creationId xmlns:a16="http://schemas.microsoft.com/office/drawing/2014/main" id="{00000000-0008-0000-0200-00001D000000}"/>
            </a:ext>
          </a:extLst>
        </xdr:cNvPr>
        <xdr:cNvSpPr/>
      </xdr:nvSpPr>
      <xdr:spPr bwMode="auto">
        <a:xfrm rot="5400000">
          <a:off x="1390650" y="38376225"/>
          <a:ext cx="285750" cy="285750"/>
        </a:xfrm>
        <a:prstGeom prst="stripedRightArrow">
          <a:avLst/>
        </a:prstGeom>
        <a:solidFill>
          <a:srgbClr val="0000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9525</xdr:colOff>
      <xdr:row>245</xdr:row>
      <xdr:rowOff>38100</xdr:rowOff>
    </xdr:from>
    <xdr:to>
      <xdr:col>7</xdr:col>
      <xdr:colOff>47625</xdr:colOff>
      <xdr:row>247</xdr:row>
      <xdr:rowOff>38100</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bwMode="auto">
        <a:xfrm flipH="1" flipV="1">
          <a:off x="1495425" y="39795450"/>
          <a:ext cx="438150" cy="361950"/>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142875</xdr:colOff>
      <xdr:row>243</xdr:row>
      <xdr:rowOff>152400</xdr:rowOff>
    </xdr:from>
    <xdr:to>
      <xdr:col>23</xdr:col>
      <xdr:colOff>57150</xdr:colOff>
      <xdr:row>247</xdr:row>
      <xdr:rowOff>28575</xdr:rowOff>
    </xdr:to>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bwMode="auto">
        <a:xfrm flipH="1" flipV="1">
          <a:off x="4229100" y="39547800"/>
          <a:ext cx="914400" cy="600075"/>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259</xdr:row>
      <xdr:rowOff>142875</xdr:rowOff>
    </xdr:from>
    <xdr:to>
      <xdr:col>12</xdr:col>
      <xdr:colOff>76200</xdr:colOff>
      <xdr:row>261</xdr:row>
      <xdr:rowOff>66675</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bwMode="auto">
        <a:xfrm>
          <a:off x="2676525" y="42433875"/>
          <a:ext cx="285750" cy="28575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142875</xdr:colOff>
      <xdr:row>257</xdr:row>
      <xdr:rowOff>133350</xdr:rowOff>
    </xdr:from>
    <xdr:to>
      <xdr:col>17</xdr:col>
      <xdr:colOff>95250</xdr:colOff>
      <xdr:row>259</xdr:row>
      <xdr:rowOff>104775</xdr:rowOff>
    </xdr:to>
    <xdr:sp macro="" textlink="">
      <xdr:nvSpPr>
        <xdr:cNvPr id="48" name="角丸四角形 47">
          <a:extLst>
            <a:ext uri="{FF2B5EF4-FFF2-40B4-BE49-F238E27FC236}">
              <a16:creationId xmlns:a16="http://schemas.microsoft.com/office/drawing/2014/main" id="{00000000-0008-0000-0200-000030000000}"/>
            </a:ext>
          </a:extLst>
        </xdr:cNvPr>
        <xdr:cNvSpPr/>
      </xdr:nvSpPr>
      <xdr:spPr bwMode="auto">
        <a:xfrm>
          <a:off x="3228975" y="42062400"/>
          <a:ext cx="752475" cy="33337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142874</xdr:colOff>
      <xdr:row>261</xdr:row>
      <xdr:rowOff>85725</xdr:rowOff>
    </xdr:from>
    <xdr:to>
      <xdr:col>17</xdr:col>
      <xdr:colOff>95250</xdr:colOff>
      <xdr:row>263</xdr:row>
      <xdr:rowOff>66675</xdr:rowOff>
    </xdr:to>
    <xdr:sp macro="" textlink="">
      <xdr:nvSpPr>
        <xdr:cNvPr id="49" name="角丸四角形 48">
          <a:extLst>
            <a:ext uri="{FF2B5EF4-FFF2-40B4-BE49-F238E27FC236}">
              <a16:creationId xmlns:a16="http://schemas.microsoft.com/office/drawing/2014/main" id="{00000000-0008-0000-0200-000031000000}"/>
            </a:ext>
          </a:extLst>
        </xdr:cNvPr>
        <xdr:cNvSpPr/>
      </xdr:nvSpPr>
      <xdr:spPr bwMode="auto">
        <a:xfrm>
          <a:off x="3228974" y="42738675"/>
          <a:ext cx="752476" cy="34290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95250</xdr:colOff>
      <xdr:row>262</xdr:row>
      <xdr:rowOff>76200</xdr:rowOff>
    </xdr:from>
    <xdr:to>
      <xdr:col>26</xdr:col>
      <xdr:colOff>171450</xdr:colOff>
      <xdr:row>265</xdr:row>
      <xdr:rowOff>161925</xdr:rowOff>
    </xdr:to>
    <xdr:cxnSp macro="">
      <xdr:nvCxnSpPr>
        <xdr:cNvPr id="52" name="直線矢印コネクタ 51">
          <a:extLst>
            <a:ext uri="{FF2B5EF4-FFF2-40B4-BE49-F238E27FC236}">
              <a16:creationId xmlns:a16="http://schemas.microsoft.com/office/drawing/2014/main" id="{00000000-0008-0000-0200-000034000000}"/>
            </a:ext>
          </a:extLst>
        </xdr:cNvPr>
        <xdr:cNvCxnSpPr>
          <a:endCxn id="49" idx="3"/>
        </xdr:cNvCxnSpPr>
      </xdr:nvCxnSpPr>
      <xdr:spPr bwMode="auto">
        <a:xfrm flipH="1" flipV="1">
          <a:off x="3981450" y="42910125"/>
          <a:ext cx="1876425" cy="628650"/>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95250</xdr:colOff>
      <xdr:row>258</xdr:row>
      <xdr:rowOff>119063</xdr:rowOff>
    </xdr:from>
    <xdr:to>
      <xdr:col>26</xdr:col>
      <xdr:colOff>161926</xdr:colOff>
      <xdr:row>265</xdr:row>
      <xdr:rowOff>152401</xdr:rowOff>
    </xdr:to>
    <xdr:cxnSp macro="">
      <xdr:nvCxnSpPr>
        <xdr:cNvPr id="53" name="直線矢印コネクタ 52">
          <a:extLst>
            <a:ext uri="{FF2B5EF4-FFF2-40B4-BE49-F238E27FC236}">
              <a16:creationId xmlns:a16="http://schemas.microsoft.com/office/drawing/2014/main" id="{00000000-0008-0000-0200-000035000000}"/>
            </a:ext>
          </a:extLst>
        </xdr:cNvPr>
        <xdr:cNvCxnSpPr>
          <a:endCxn id="48" idx="3"/>
        </xdr:cNvCxnSpPr>
      </xdr:nvCxnSpPr>
      <xdr:spPr bwMode="auto">
        <a:xfrm flipH="1" flipV="1">
          <a:off x="3981450" y="42229088"/>
          <a:ext cx="1866901" cy="1300163"/>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180975</xdr:colOff>
      <xdr:row>257</xdr:row>
      <xdr:rowOff>161924</xdr:rowOff>
    </xdr:from>
    <xdr:to>
      <xdr:col>12</xdr:col>
      <xdr:colOff>66675</xdr:colOff>
      <xdr:row>259</xdr:row>
      <xdr:rowOff>87974</xdr:rowOff>
    </xdr:to>
    <xdr:sp macro="" textlink="">
      <xdr:nvSpPr>
        <xdr:cNvPr id="84" name="フローチャート : 結合子 83">
          <a:extLst>
            <a:ext uri="{FF2B5EF4-FFF2-40B4-BE49-F238E27FC236}">
              <a16:creationId xmlns:a16="http://schemas.microsoft.com/office/drawing/2014/main" id="{00000000-0008-0000-0200-000054000000}"/>
            </a:ext>
          </a:extLst>
        </xdr:cNvPr>
        <xdr:cNvSpPr/>
      </xdr:nvSpPr>
      <xdr:spPr bwMode="auto">
        <a:xfrm>
          <a:off x="2667000" y="42090974"/>
          <a:ext cx="285750" cy="288000"/>
        </a:xfrm>
        <a:prstGeom prst="flowChartConnector">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180975</xdr:colOff>
      <xdr:row>263</xdr:row>
      <xdr:rowOff>95250</xdr:rowOff>
    </xdr:from>
    <xdr:to>
      <xdr:col>12</xdr:col>
      <xdr:colOff>66675</xdr:colOff>
      <xdr:row>265</xdr:row>
      <xdr:rowOff>21300</xdr:rowOff>
    </xdr:to>
    <xdr:sp macro="" textlink="">
      <xdr:nvSpPr>
        <xdr:cNvPr id="85" name="フローチャート : 結合子 84">
          <a:extLst>
            <a:ext uri="{FF2B5EF4-FFF2-40B4-BE49-F238E27FC236}">
              <a16:creationId xmlns:a16="http://schemas.microsoft.com/office/drawing/2014/main" id="{00000000-0008-0000-0200-000055000000}"/>
            </a:ext>
          </a:extLst>
        </xdr:cNvPr>
        <xdr:cNvSpPr/>
      </xdr:nvSpPr>
      <xdr:spPr bwMode="auto">
        <a:xfrm>
          <a:off x="2667000" y="43110150"/>
          <a:ext cx="285750" cy="288000"/>
        </a:xfrm>
        <a:prstGeom prst="flowChartConnector">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76200</xdr:colOff>
      <xdr:row>260</xdr:row>
      <xdr:rowOff>104775</xdr:rowOff>
    </xdr:from>
    <xdr:to>
      <xdr:col>21</xdr:col>
      <xdr:colOff>28578</xdr:colOff>
      <xdr:row>268</xdr:row>
      <xdr:rowOff>19052</xdr:rowOff>
    </xdr:to>
    <xdr:cxnSp macro="">
      <xdr:nvCxnSpPr>
        <xdr:cNvPr id="86" name="直線矢印コネクタ 85">
          <a:extLst>
            <a:ext uri="{FF2B5EF4-FFF2-40B4-BE49-F238E27FC236}">
              <a16:creationId xmlns:a16="http://schemas.microsoft.com/office/drawing/2014/main" id="{00000000-0008-0000-0200-000056000000}"/>
            </a:ext>
          </a:extLst>
        </xdr:cNvPr>
        <xdr:cNvCxnSpPr>
          <a:endCxn id="46" idx="3"/>
        </xdr:cNvCxnSpPr>
      </xdr:nvCxnSpPr>
      <xdr:spPr bwMode="auto">
        <a:xfrm flipH="1" flipV="1">
          <a:off x="2962275" y="42576750"/>
          <a:ext cx="1752603" cy="1362077"/>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114300</xdr:colOff>
      <xdr:row>259</xdr:row>
      <xdr:rowOff>45797</xdr:rowOff>
    </xdr:from>
    <xdr:to>
      <xdr:col>11</xdr:col>
      <xdr:colOff>22797</xdr:colOff>
      <xdr:row>265</xdr:row>
      <xdr:rowOff>161925</xdr:rowOff>
    </xdr:to>
    <xdr:cxnSp macro="">
      <xdr:nvCxnSpPr>
        <xdr:cNvPr id="51" name="直線矢印コネクタ 50">
          <a:extLst>
            <a:ext uri="{FF2B5EF4-FFF2-40B4-BE49-F238E27FC236}">
              <a16:creationId xmlns:a16="http://schemas.microsoft.com/office/drawing/2014/main" id="{00000000-0008-0000-0200-000033000000}"/>
            </a:ext>
          </a:extLst>
        </xdr:cNvPr>
        <xdr:cNvCxnSpPr>
          <a:endCxn id="84" idx="3"/>
        </xdr:cNvCxnSpPr>
      </xdr:nvCxnSpPr>
      <xdr:spPr bwMode="auto">
        <a:xfrm flipV="1">
          <a:off x="1600200" y="42336797"/>
          <a:ext cx="1108647" cy="1201978"/>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114300</xdr:colOff>
      <xdr:row>264</xdr:row>
      <xdr:rowOff>58275</xdr:rowOff>
    </xdr:from>
    <xdr:to>
      <xdr:col>10</xdr:col>
      <xdr:colOff>180975</xdr:colOff>
      <xdr:row>265</xdr:row>
      <xdr:rowOff>161925</xdr:rowOff>
    </xdr:to>
    <xdr:cxnSp macro="">
      <xdr:nvCxnSpPr>
        <xdr:cNvPr id="87" name="直線矢印コネクタ 86">
          <a:extLst>
            <a:ext uri="{FF2B5EF4-FFF2-40B4-BE49-F238E27FC236}">
              <a16:creationId xmlns:a16="http://schemas.microsoft.com/office/drawing/2014/main" id="{00000000-0008-0000-0200-000057000000}"/>
            </a:ext>
          </a:extLst>
        </xdr:cNvPr>
        <xdr:cNvCxnSpPr>
          <a:endCxn id="85" idx="2"/>
        </xdr:cNvCxnSpPr>
      </xdr:nvCxnSpPr>
      <xdr:spPr bwMode="auto">
        <a:xfrm flipV="1">
          <a:off x="1600200" y="43254150"/>
          <a:ext cx="1066800" cy="284625"/>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95250</xdr:colOff>
          <xdr:row>56</xdr:row>
          <xdr:rowOff>0</xdr:rowOff>
        </xdr:from>
        <xdr:to>
          <xdr:col>19</xdr:col>
          <xdr:colOff>0</xdr:colOff>
          <xdr:row>56</xdr:row>
          <xdr:rowOff>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3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56</xdr:row>
          <xdr:rowOff>0</xdr:rowOff>
        </xdr:from>
        <xdr:to>
          <xdr:col>19</xdr:col>
          <xdr:colOff>0</xdr:colOff>
          <xdr:row>56</xdr:row>
          <xdr:rowOff>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3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21</xdr:row>
          <xdr:rowOff>57150</xdr:rowOff>
        </xdr:from>
        <xdr:to>
          <xdr:col>2</xdr:col>
          <xdr:colOff>314325</xdr:colOff>
          <xdr:row>21</xdr:row>
          <xdr:rowOff>276225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22</xdr:row>
          <xdr:rowOff>57150</xdr:rowOff>
        </xdr:from>
        <xdr:to>
          <xdr:col>2</xdr:col>
          <xdr:colOff>314325</xdr:colOff>
          <xdr:row>22</xdr:row>
          <xdr:rowOff>276225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57150</xdr:rowOff>
        </xdr:from>
        <xdr:to>
          <xdr:col>2</xdr:col>
          <xdr:colOff>314325</xdr:colOff>
          <xdr:row>23</xdr:row>
          <xdr:rowOff>276225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24</xdr:row>
          <xdr:rowOff>57150</xdr:rowOff>
        </xdr:from>
        <xdr:to>
          <xdr:col>2</xdr:col>
          <xdr:colOff>314325</xdr:colOff>
          <xdr:row>24</xdr:row>
          <xdr:rowOff>276225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47625</xdr:rowOff>
        </xdr:from>
        <xdr:to>
          <xdr:col>2</xdr:col>
          <xdr:colOff>314325</xdr:colOff>
          <xdr:row>25</xdr:row>
          <xdr:rowOff>266700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47625</xdr:rowOff>
        </xdr:from>
        <xdr:to>
          <xdr:col>2</xdr:col>
          <xdr:colOff>314325</xdr:colOff>
          <xdr:row>26</xdr:row>
          <xdr:rowOff>266700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xdr:row>
          <xdr:rowOff>47625</xdr:rowOff>
        </xdr:from>
        <xdr:to>
          <xdr:col>2</xdr:col>
          <xdr:colOff>314325</xdr:colOff>
          <xdr:row>27</xdr:row>
          <xdr:rowOff>266700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47625</xdr:rowOff>
        </xdr:from>
        <xdr:to>
          <xdr:col>2</xdr:col>
          <xdr:colOff>314325</xdr:colOff>
          <xdr:row>28</xdr:row>
          <xdr:rowOff>266700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xdr:row>
          <xdr:rowOff>47625</xdr:rowOff>
        </xdr:from>
        <xdr:to>
          <xdr:col>2</xdr:col>
          <xdr:colOff>314325</xdr:colOff>
          <xdr:row>29</xdr:row>
          <xdr:rowOff>266700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47625</xdr:rowOff>
        </xdr:from>
        <xdr:to>
          <xdr:col>2</xdr:col>
          <xdr:colOff>314325</xdr:colOff>
          <xdr:row>30</xdr:row>
          <xdr:rowOff>266700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57150</xdr:rowOff>
        </xdr:from>
        <xdr:to>
          <xdr:col>2</xdr:col>
          <xdr:colOff>314325</xdr:colOff>
          <xdr:row>31</xdr:row>
          <xdr:rowOff>276225</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47625</xdr:rowOff>
        </xdr:from>
        <xdr:to>
          <xdr:col>2</xdr:col>
          <xdr:colOff>314325</xdr:colOff>
          <xdr:row>32</xdr:row>
          <xdr:rowOff>266700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33</xdr:row>
          <xdr:rowOff>47625</xdr:rowOff>
        </xdr:from>
        <xdr:to>
          <xdr:col>2</xdr:col>
          <xdr:colOff>314325</xdr:colOff>
          <xdr:row>33</xdr:row>
          <xdr:rowOff>266700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xdr:row>
          <xdr:rowOff>57150</xdr:rowOff>
        </xdr:from>
        <xdr:to>
          <xdr:col>2</xdr:col>
          <xdr:colOff>314325</xdr:colOff>
          <xdr:row>34</xdr:row>
          <xdr:rowOff>276225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35</xdr:row>
          <xdr:rowOff>47625</xdr:rowOff>
        </xdr:from>
        <xdr:to>
          <xdr:col>2</xdr:col>
          <xdr:colOff>314325</xdr:colOff>
          <xdr:row>35</xdr:row>
          <xdr:rowOff>266700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36</xdr:row>
          <xdr:rowOff>57150</xdr:rowOff>
        </xdr:from>
        <xdr:to>
          <xdr:col>2</xdr:col>
          <xdr:colOff>314325</xdr:colOff>
          <xdr:row>36</xdr:row>
          <xdr:rowOff>276225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209550</xdr:colOff>
      <xdr:row>20</xdr:row>
      <xdr:rowOff>114300</xdr:rowOff>
    </xdr:from>
    <xdr:to>
      <xdr:col>2</xdr:col>
      <xdr:colOff>385414</xdr:colOff>
      <xdr:row>21</xdr:row>
      <xdr:rowOff>8827</xdr:rowOff>
    </xdr:to>
    <xdr:cxnSp macro="">
      <xdr:nvCxnSpPr>
        <xdr:cNvPr id="40" name="カギ線コネクタ 39">
          <a:extLst>
            <a:ext uri="{FF2B5EF4-FFF2-40B4-BE49-F238E27FC236}">
              <a16:creationId xmlns:a16="http://schemas.microsoft.com/office/drawing/2014/main" id="{00000000-0008-0000-0500-000028000000}"/>
            </a:ext>
          </a:extLst>
        </xdr:cNvPr>
        <xdr:cNvCxnSpPr/>
      </xdr:nvCxnSpPr>
      <xdr:spPr>
        <a:xfrm rot="10800000" flipV="1">
          <a:off x="857250" y="4733925"/>
          <a:ext cx="175864" cy="142177"/>
        </a:xfrm>
        <a:prstGeom prst="bentConnector3">
          <a:avLst>
            <a:gd name="adj1" fmla="val 100198"/>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95250</xdr:colOff>
          <xdr:row>37</xdr:row>
          <xdr:rowOff>57150</xdr:rowOff>
        </xdr:from>
        <xdr:to>
          <xdr:col>2</xdr:col>
          <xdr:colOff>314325</xdr:colOff>
          <xdr:row>37</xdr:row>
          <xdr:rowOff>276225</xdr:rowOff>
        </xdr:to>
        <xdr:sp macro="" textlink="">
          <xdr:nvSpPr>
            <xdr:cNvPr id="1921" name="Option Button 897" hidden="1">
              <a:extLst>
                <a:ext uri="{63B3BB69-23CF-44E3-9099-C40C66FF867C}">
                  <a14:compatExt spid="_x0000_s1921"/>
                </a:ext>
                <a:ext uri="{FF2B5EF4-FFF2-40B4-BE49-F238E27FC236}">
                  <a16:creationId xmlns:a16="http://schemas.microsoft.com/office/drawing/2014/main" id="{00000000-0008-0000-0500-00008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38</xdr:row>
          <xdr:rowOff>57150</xdr:rowOff>
        </xdr:from>
        <xdr:to>
          <xdr:col>2</xdr:col>
          <xdr:colOff>314325</xdr:colOff>
          <xdr:row>38</xdr:row>
          <xdr:rowOff>276225</xdr:rowOff>
        </xdr:to>
        <xdr:sp macro="" textlink="">
          <xdr:nvSpPr>
            <xdr:cNvPr id="1922" name="Option Button 898" hidden="1">
              <a:extLst>
                <a:ext uri="{63B3BB69-23CF-44E3-9099-C40C66FF867C}">
                  <a14:compatExt spid="_x0000_s1922"/>
                </a:ext>
                <a:ext uri="{FF2B5EF4-FFF2-40B4-BE49-F238E27FC236}">
                  <a16:creationId xmlns:a16="http://schemas.microsoft.com/office/drawing/2014/main" id="{00000000-0008-0000-0500-00008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xdr:row>
          <xdr:rowOff>57150</xdr:rowOff>
        </xdr:from>
        <xdr:to>
          <xdr:col>2</xdr:col>
          <xdr:colOff>314325</xdr:colOff>
          <xdr:row>19</xdr:row>
          <xdr:rowOff>276225</xdr:rowOff>
        </xdr:to>
        <xdr:sp macro="" textlink="">
          <xdr:nvSpPr>
            <xdr:cNvPr id="1923" name="Option Button 899" hidden="1">
              <a:extLst>
                <a:ext uri="{63B3BB69-23CF-44E3-9099-C40C66FF867C}">
                  <a14:compatExt spid="_x0000_s1923"/>
                </a:ext>
                <a:ext uri="{FF2B5EF4-FFF2-40B4-BE49-F238E27FC236}">
                  <a16:creationId xmlns:a16="http://schemas.microsoft.com/office/drawing/2014/main" id="{00000000-0008-0000-0500-00008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21</xdr:row>
          <xdr:rowOff>66675</xdr:rowOff>
        </xdr:from>
        <xdr:to>
          <xdr:col>7</xdr:col>
          <xdr:colOff>352425</xdr:colOff>
          <xdr:row>21</xdr:row>
          <xdr:rowOff>266700</xdr:rowOff>
        </xdr:to>
        <xdr:sp macro="" textlink="">
          <xdr:nvSpPr>
            <xdr:cNvPr id="35888" name="Check Box 1072" hidden="1">
              <a:extLst>
                <a:ext uri="{63B3BB69-23CF-44E3-9099-C40C66FF867C}">
                  <a14:compatExt spid="_x0000_s35888"/>
                </a:ext>
                <a:ext uri="{FF2B5EF4-FFF2-40B4-BE49-F238E27FC236}">
                  <a16:creationId xmlns:a16="http://schemas.microsoft.com/office/drawing/2014/main" id="{00000000-0008-0000-0500-00003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66675</xdr:rowOff>
        </xdr:from>
        <xdr:to>
          <xdr:col>7</xdr:col>
          <xdr:colOff>352425</xdr:colOff>
          <xdr:row>22</xdr:row>
          <xdr:rowOff>266700</xdr:rowOff>
        </xdr:to>
        <xdr:sp macro="" textlink="">
          <xdr:nvSpPr>
            <xdr:cNvPr id="35898" name="Check Box 1082" hidden="1">
              <a:extLst>
                <a:ext uri="{63B3BB69-23CF-44E3-9099-C40C66FF867C}">
                  <a14:compatExt spid="_x0000_s35898"/>
                </a:ext>
                <a:ext uri="{FF2B5EF4-FFF2-40B4-BE49-F238E27FC236}">
                  <a16:creationId xmlns:a16="http://schemas.microsoft.com/office/drawing/2014/main" id="{00000000-0008-0000-0500-00003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23</xdr:row>
          <xdr:rowOff>66675</xdr:rowOff>
        </xdr:from>
        <xdr:to>
          <xdr:col>7</xdr:col>
          <xdr:colOff>352425</xdr:colOff>
          <xdr:row>23</xdr:row>
          <xdr:rowOff>266700</xdr:rowOff>
        </xdr:to>
        <xdr:sp macro="" textlink="">
          <xdr:nvSpPr>
            <xdr:cNvPr id="35899" name="Check Box 1083" hidden="1">
              <a:extLst>
                <a:ext uri="{63B3BB69-23CF-44E3-9099-C40C66FF867C}">
                  <a14:compatExt spid="_x0000_s35899"/>
                </a:ext>
                <a:ext uri="{FF2B5EF4-FFF2-40B4-BE49-F238E27FC236}">
                  <a16:creationId xmlns:a16="http://schemas.microsoft.com/office/drawing/2014/main" id="{00000000-0008-0000-0500-00003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24</xdr:row>
          <xdr:rowOff>66675</xdr:rowOff>
        </xdr:from>
        <xdr:to>
          <xdr:col>7</xdr:col>
          <xdr:colOff>352425</xdr:colOff>
          <xdr:row>24</xdr:row>
          <xdr:rowOff>266700</xdr:rowOff>
        </xdr:to>
        <xdr:sp macro="" textlink="">
          <xdr:nvSpPr>
            <xdr:cNvPr id="35900" name="Check Box 1084" hidden="1">
              <a:extLst>
                <a:ext uri="{63B3BB69-23CF-44E3-9099-C40C66FF867C}">
                  <a14:compatExt spid="_x0000_s35900"/>
                </a:ext>
                <a:ext uri="{FF2B5EF4-FFF2-40B4-BE49-F238E27FC236}">
                  <a16:creationId xmlns:a16="http://schemas.microsoft.com/office/drawing/2014/main" id="{00000000-0008-0000-0500-00003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25</xdr:row>
          <xdr:rowOff>66675</xdr:rowOff>
        </xdr:from>
        <xdr:to>
          <xdr:col>7</xdr:col>
          <xdr:colOff>352425</xdr:colOff>
          <xdr:row>25</xdr:row>
          <xdr:rowOff>266700</xdr:rowOff>
        </xdr:to>
        <xdr:sp macro="" textlink="">
          <xdr:nvSpPr>
            <xdr:cNvPr id="35901" name="Check Box 1085" hidden="1">
              <a:extLst>
                <a:ext uri="{63B3BB69-23CF-44E3-9099-C40C66FF867C}">
                  <a14:compatExt spid="_x0000_s35901"/>
                </a:ext>
                <a:ext uri="{FF2B5EF4-FFF2-40B4-BE49-F238E27FC236}">
                  <a16:creationId xmlns:a16="http://schemas.microsoft.com/office/drawing/2014/main" id="{00000000-0008-0000-0500-00003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66675</xdr:rowOff>
        </xdr:from>
        <xdr:to>
          <xdr:col>7</xdr:col>
          <xdr:colOff>352425</xdr:colOff>
          <xdr:row>26</xdr:row>
          <xdr:rowOff>266700</xdr:rowOff>
        </xdr:to>
        <xdr:sp macro="" textlink="">
          <xdr:nvSpPr>
            <xdr:cNvPr id="35902" name="Check Box 1086" hidden="1">
              <a:extLst>
                <a:ext uri="{63B3BB69-23CF-44E3-9099-C40C66FF867C}">
                  <a14:compatExt spid="_x0000_s35902"/>
                </a:ext>
                <a:ext uri="{FF2B5EF4-FFF2-40B4-BE49-F238E27FC236}">
                  <a16:creationId xmlns:a16="http://schemas.microsoft.com/office/drawing/2014/main" id="{00000000-0008-0000-0500-00003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27</xdr:row>
          <xdr:rowOff>66675</xdr:rowOff>
        </xdr:from>
        <xdr:to>
          <xdr:col>7</xdr:col>
          <xdr:colOff>352425</xdr:colOff>
          <xdr:row>27</xdr:row>
          <xdr:rowOff>266700</xdr:rowOff>
        </xdr:to>
        <xdr:sp macro="" textlink="">
          <xdr:nvSpPr>
            <xdr:cNvPr id="35903" name="Check Box 1087" hidden="1">
              <a:extLst>
                <a:ext uri="{63B3BB69-23CF-44E3-9099-C40C66FF867C}">
                  <a14:compatExt spid="_x0000_s35903"/>
                </a:ext>
                <a:ext uri="{FF2B5EF4-FFF2-40B4-BE49-F238E27FC236}">
                  <a16:creationId xmlns:a16="http://schemas.microsoft.com/office/drawing/2014/main" id="{00000000-0008-0000-0500-00003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28</xdr:row>
          <xdr:rowOff>66675</xdr:rowOff>
        </xdr:from>
        <xdr:to>
          <xdr:col>7</xdr:col>
          <xdr:colOff>352425</xdr:colOff>
          <xdr:row>28</xdr:row>
          <xdr:rowOff>266700</xdr:rowOff>
        </xdr:to>
        <xdr:sp macro="" textlink="">
          <xdr:nvSpPr>
            <xdr:cNvPr id="35904" name="Check Box 1088" hidden="1">
              <a:extLst>
                <a:ext uri="{63B3BB69-23CF-44E3-9099-C40C66FF867C}">
                  <a14:compatExt spid="_x0000_s35904"/>
                </a:ext>
                <a:ext uri="{FF2B5EF4-FFF2-40B4-BE49-F238E27FC236}">
                  <a16:creationId xmlns:a16="http://schemas.microsoft.com/office/drawing/2014/main" id="{00000000-0008-0000-0500-00004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29</xdr:row>
          <xdr:rowOff>66675</xdr:rowOff>
        </xdr:from>
        <xdr:to>
          <xdr:col>7</xdr:col>
          <xdr:colOff>352425</xdr:colOff>
          <xdr:row>29</xdr:row>
          <xdr:rowOff>266700</xdr:rowOff>
        </xdr:to>
        <xdr:sp macro="" textlink="">
          <xdr:nvSpPr>
            <xdr:cNvPr id="35905" name="Check Box 1089" hidden="1">
              <a:extLst>
                <a:ext uri="{63B3BB69-23CF-44E3-9099-C40C66FF867C}">
                  <a14:compatExt spid="_x0000_s35905"/>
                </a:ext>
                <a:ext uri="{FF2B5EF4-FFF2-40B4-BE49-F238E27FC236}">
                  <a16:creationId xmlns:a16="http://schemas.microsoft.com/office/drawing/2014/main" id="{00000000-0008-0000-0500-00004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66675</xdr:rowOff>
        </xdr:from>
        <xdr:to>
          <xdr:col>7</xdr:col>
          <xdr:colOff>352425</xdr:colOff>
          <xdr:row>30</xdr:row>
          <xdr:rowOff>266700</xdr:rowOff>
        </xdr:to>
        <xdr:sp macro="" textlink="">
          <xdr:nvSpPr>
            <xdr:cNvPr id="35906" name="Check Box 1090" hidden="1">
              <a:extLst>
                <a:ext uri="{63B3BB69-23CF-44E3-9099-C40C66FF867C}">
                  <a14:compatExt spid="_x0000_s35906"/>
                </a:ext>
                <a:ext uri="{FF2B5EF4-FFF2-40B4-BE49-F238E27FC236}">
                  <a16:creationId xmlns:a16="http://schemas.microsoft.com/office/drawing/2014/main" id="{00000000-0008-0000-0500-00004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66675</xdr:rowOff>
        </xdr:from>
        <xdr:to>
          <xdr:col>7</xdr:col>
          <xdr:colOff>352425</xdr:colOff>
          <xdr:row>31</xdr:row>
          <xdr:rowOff>266700</xdr:rowOff>
        </xdr:to>
        <xdr:sp macro="" textlink="">
          <xdr:nvSpPr>
            <xdr:cNvPr id="35907" name="Check Box 1091" hidden="1">
              <a:extLst>
                <a:ext uri="{63B3BB69-23CF-44E3-9099-C40C66FF867C}">
                  <a14:compatExt spid="_x0000_s35907"/>
                </a:ext>
                <a:ext uri="{FF2B5EF4-FFF2-40B4-BE49-F238E27FC236}">
                  <a16:creationId xmlns:a16="http://schemas.microsoft.com/office/drawing/2014/main" id="{00000000-0008-0000-0500-00004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32</xdr:row>
          <xdr:rowOff>66675</xdr:rowOff>
        </xdr:from>
        <xdr:to>
          <xdr:col>7</xdr:col>
          <xdr:colOff>352425</xdr:colOff>
          <xdr:row>32</xdr:row>
          <xdr:rowOff>266700</xdr:rowOff>
        </xdr:to>
        <xdr:sp macro="" textlink="">
          <xdr:nvSpPr>
            <xdr:cNvPr id="35908" name="Check Box 1092" hidden="1">
              <a:extLst>
                <a:ext uri="{63B3BB69-23CF-44E3-9099-C40C66FF867C}">
                  <a14:compatExt spid="_x0000_s35908"/>
                </a:ext>
                <a:ext uri="{FF2B5EF4-FFF2-40B4-BE49-F238E27FC236}">
                  <a16:creationId xmlns:a16="http://schemas.microsoft.com/office/drawing/2014/main" id="{00000000-0008-0000-0500-00004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33</xdr:row>
          <xdr:rowOff>66675</xdr:rowOff>
        </xdr:from>
        <xdr:to>
          <xdr:col>7</xdr:col>
          <xdr:colOff>352425</xdr:colOff>
          <xdr:row>33</xdr:row>
          <xdr:rowOff>266700</xdr:rowOff>
        </xdr:to>
        <xdr:sp macro="" textlink="">
          <xdr:nvSpPr>
            <xdr:cNvPr id="35909" name="Check Box 1093" hidden="1">
              <a:extLst>
                <a:ext uri="{63B3BB69-23CF-44E3-9099-C40C66FF867C}">
                  <a14:compatExt spid="_x0000_s35909"/>
                </a:ext>
                <a:ext uri="{FF2B5EF4-FFF2-40B4-BE49-F238E27FC236}">
                  <a16:creationId xmlns:a16="http://schemas.microsoft.com/office/drawing/2014/main" id="{00000000-0008-0000-0500-00004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34</xdr:row>
          <xdr:rowOff>66675</xdr:rowOff>
        </xdr:from>
        <xdr:to>
          <xdr:col>7</xdr:col>
          <xdr:colOff>352425</xdr:colOff>
          <xdr:row>34</xdr:row>
          <xdr:rowOff>266700</xdr:rowOff>
        </xdr:to>
        <xdr:sp macro="" textlink="">
          <xdr:nvSpPr>
            <xdr:cNvPr id="35910" name="Check Box 1094" hidden="1">
              <a:extLst>
                <a:ext uri="{63B3BB69-23CF-44E3-9099-C40C66FF867C}">
                  <a14:compatExt spid="_x0000_s35910"/>
                </a:ext>
                <a:ext uri="{FF2B5EF4-FFF2-40B4-BE49-F238E27FC236}">
                  <a16:creationId xmlns:a16="http://schemas.microsoft.com/office/drawing/2014/main" id="{00000000-0008-0000-0500-00004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35</xdr:row>
          <xdr:rowOff>66675</xdr:rowOff>
        </xdr:from>
        <xdr:to>
          <xdr:col>7</xdr:col>
          <xdr:colOff>352425</xdr:colOff>
          <xdr:row>35</xdr:row>
          <xdr:rowOff>266700</xdr:rowOff>
        </xdr:to>
        <xdr:sp macro="" textlink="">
          <xdr:nvSpPr>
            <xdr:cNvPr id="35911" name="Check Box 1095" hidden="1">
              <a:extLst>
                <a:ext uri="{63B3BB69-23CF-44E3-9099-C40C66FF867C}">
                  <a14:compatExt spid="_x0000_s35911"/>
                </a:ext>
                <a:ext uri="{FF2B5EF4-FFF2-40B4-BE49-F238E27FC236}">
                  <a16:creationId xmlns:a16="http://schemas.microsoft.com/office/drawing/2014/main" id="{00000000-0008-0000-0500-00004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36</xdr:row>
          <xdr:rowOff>66675</xdr:rowOff>
        </xdr:from>
        <xdr:to>
          <xdr:col>7</xdr:col>
          <xdr:colOff>352425</xdr:colOff>
          <xdr:row>36</xdr:row>
          <xdr:rowOff>266700</xdr:rowOff>
        </xdr:to>
        <xdr:sp macro="" textlink="">
          <xdr:nvSpPr>
            <xdr:cNvPr id="35912" name="Check Box 1096" hidden="1">
              <a:extLst>
                <a:ext uri="{63B3BB69-23CF-44E3-9099-C40C66FF867C}">
                  <a14:compatExt spid="_x0000_s35912"/>
                </a:ext>
                <a:ext uri="{FF2B5EF4-FFF2-40B4-BE49-F238E27FC236}">
                  <a16:creationId xmlns:a16="http://schemas.microsoft.com/office/drawing/2014/main" id="{00000000-0008-0000-0500-00004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37</xdr:row>
          <xdr:rowOff>66675</xdr:rowOff>
        </xdr:from>
        <xdr:to>
          <xdr:col>7</xdr:col>
          <xdr:colOff>352425</xdr:colOff>
          <xdr:row>37</xdr:row>
          <xdr:rowOff>266700</xdr:rowOff>
        </xdr:to>
        <xdr:sp macro="" textlink="">
          <xdr:nvSpPr>
            <xdr:cNvPr id="35913" name="Check Box 1097" hidden="1">
              <a:extLst>
                <a:ext uri="{63B3BB69-23CF-44E3-9099-C40C66FF867C}">
                  <a14:compatExt spid="_x0000_s35913"/>
                </a:ext>
                <a:ext uri="{FF2B5EF4-FFF2-40B4-BE49-F238E27FC236}">
                  <a16:creationId xmlns:a16="http://schemas.microsoft.com/office/drawing/2014/main" id="{00000000-0008-0000-0500-00004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38</xdr:row>
          <xdr:rowOff>66675</xdr:rowOff>
        </xdr:from>
        <xdr:to>
          <xdr:col>7</xdr:col>
          <xdr:colOff>352425</xdr:colOff>
          <xdr:row>38</xdr:row>
          <xdr:rowOff>266700</xdr:rowOff>
        </xdr:to>
        <xdr:sp macro="" textlink="">
          <xdr:nvSpPr>
            <xdr:cNvPr id="35914" name="Check Box 1098" hidden="1">
              <a:extLst>
                <a:ext uri="{63B3BB69-23CF-44E3-9099-C40C66FF867C}">
                  <a14:compatExt spid="_x0000_s35914"/>
                </a:ext>
                <a:ext uri="{FF2B5EF4-FFF2-40B4-BE49-F238E27FC236}">
                  <a16:creationId xmlns:a16="http://schemas.microsoft.com/office/drawing/2014/main" id="{00000000-0008-0000-0500-00004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19</xdr:row>
          <xdr:rowOff>66675</xdr:rowOff>
        </xdr:from>
        <xdr:to>
          <xdr:col>7</xdr:col>
          <xdr:colOff>352425</xdr:colOff>
          <xdr:row>19</xdr:row>
          <xdr:rowOff>266700</xdr:rowOff>
        </xdr:to>
        <xdr:sp macro="" textlink="">
          <xdr:nvSpPr>
            <xdr:cNvPr id="35919" name="Check Box 1103" hidden="1">
              <a:extLst>
                <a:ext uri="{63B3BB69-23CF-44E3-9099-C40C66FF867C}">
                  <a14:compatExt spid="_x0000_s35919"/>
                </a:ext>
                <a:ext uri="{FF2B5EF4-FFF2-40B4-BE49-F238E27FC236}">
                  <a16:creationId xmlns:a16="http://schemas.microsoft.com/office/drawing/2014/main" id="{00000000-0008-0000-0500-00004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190500</xdr:colOff>
      <xdr:row>16</xdr:row>
      <xdr:rowOff>155752</xdr:rowOff>
    </xdr:from>
    <xdr:to>
      <xdr:col>7</xdr:col>
      <xdr:colOff>366364</xdr:colOff>
      <xdr:row>16</xdr:row>
      <xdr:rowOff>551752</xdr:rowOff>
    </xdr:to>
    <xdr:cxnSp macro="">
      <xdr:nvCxnSpPr>
        <xdr:cNvPr id="61" name="カギ線コネクタ 60">
          <a:extLst>
            <a:ext uri="{FF2B5EF4-FFF2-40B4-BE49-F238E27FC236}">
              <a16:creationId xmlns:a16="http://schemas.microsoft.com/office/drawing/2014/main" id="{00000000-0008-0000-0500-00003D000000}"/>
            </a:ext>
          </a:extLst>
        </xdr:cNvPr>
        <xdr:cNvCxnSpPr/>
      </xdr:nvCxnSpPr>
      <xdr:spPr>
        <a:xfrm rot="10800000" flipV="1">
          <a:off x="3714750" y="3641902"/>
          <a:ext cx="175864" cy="396000"/>
        </a:xfrm>
        <a:prstGeom prst="bentConnector3">
          <a:avLst>
            <a:gd name="adj1" fmla="val 100198"/>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161925</xdr:colOff>
      <xdr:row>27</xdr:row>
      <xdr:rowOff>38100</xdr:rowOff>
    </xdr:from>
    <xdr:to>
      <xdr:col>4</xdr:col>
      <xdr:colOff>152400</xdr:colOff>
      <xdr:row>29</xdr:row>
      <xdr:rowOff>152400</xdr:rowOff>
    </xdr:to>
    <xdr:pic>
      <xdr:nvPicPr>
        <xdr:cNvPr id="56447" name="図 1">
          <a:extLst>
            <a:ext uri="{FF2B5EF4-FFF2-40B4-BE49-F238E27FC236}">
              <a16:creationId xmlns:a16="http://schemas.microsoft.com/office/drawing/2014/main" id="{00000000-0008-0000-0900-00007F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4953000"/>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161925</xdr:colOff>
      <xdr:row>56</xdr:row>
      <xdr:rowOff>38100</xdr:rowOff>
    </xdr:from>
    <xdr:to>
      <xdr:col>4</xdr:col>
      <xdr:colOff>152400</xdr:colOff>
      <xdr:row>58</xdr:row>
      <xdr:rowOff>142875</xdr:rowOff>
    </xdr:to>
    <xdr:pic>
      <xdr:nvPicPr>
        <xdr:cNvPr id="56448" name="図 1">
          <a:extLst>
            <a:ext uri="{FF2B5EF4-FFF2-40B4-BE49-F238E27FC236}">
              <a16:creationId xmlns:a16="http://schemas.microsoft.com/office/drawing/2014/main" id="{00000000-0008-0000-0900-000080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0106025"/>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161925</xdr:colOff>
      <xdr:row>27</xdr:row>
      <xdr:rowOff>38100</xdr:rowOff>
    </xdr:from>
    <xdr:to>
      <xdr:col>10</xdr:col>
      <xdr:colOff>152400</xdr:colOff>
      <xdr:row>29</xdr:row>
      <xdr:rowOff>152400</xdr:rowOff>
    </xdr:to>
    <xdr:pic>
      <xdr:nvPicPr>
        <xdr:cNvPr id="56449" name="図 1">
          <a:extLst>
            <a:ext uri="{FF2B5EF4-FFF2-40B4-BE49-F238E27FC236}">
              <a16:creationId xmlns:a16="http://schemas.microsoft.com/office/drawing/2014/main" id="{00000000-0008-0000-0900-000081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0" y="4953000"/>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161925</xdr:colOff>
      <xdr:row>56</xdr:row>
      <xdr:rowOff>38100</xdr:rowOff>
    </xdr:from>
    <xdr:to>
      <xdr:col>10</xdr:col>
      <xdr:colOff>152400</xdr:colOff>
      <xdr:row>58</xdr:row>
      <xdr:rowOff>142875</xdr:rowOff>
    </xdr:to>
    <xdr:pic>
      <xdr:nvPicPr>
        <xdr:cNvPr id="56450" name="図 1">
          <a:extLst>
            <a:ext uri="{FF2B5EF4-FFF2-40B4-BE49-F238E27FC236}">
              <a16:creationId xmlns:a16="http://schemas.microsoft.com/office/drawing/2014/main" id="{00000000-0008-0000-0900-000082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0" y="10106025"/>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161925</xdr:colOff>
      <xdr:row>27</xdr:row>
      <xdr:rowOff>38100</xdr:rowOff>
    </xdr:from>
    <xdr:to>
      <xdr:col>16</xdr:col>
      <xdr:colOff>152400</xdr:colOff>
      <xdr:row>29</xdr:row>
      <xdr:rowOff>152400</xdr:rowOff>
    </xdr:to>
    <xdr:pic>
      <xdr:nvPicPr>
        <xdr:cNvPr id="56451" name="図 1">
          <a:extLst>
            <a:ext uri="{FF2B5EF4-FFF2-40B4-BE49-F238E27FC236}">
              <a16:creationId xmlns:a16="http://schemas.microsoft.com/office/drawing/2014/main" id="{00000000-0008-0000-0900-000083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6450" y="4953000"/>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161925</xdr:colOff>
      <xdr:row>56</xdr:row>
      <xdr:rowOff>38100</xdr:rowOff>
    </xdr:from>
    <xdr:to>
      <xdr:col>16</xdr:col>
      <xdr:colOff>152400</xdr:colOff>
      <xdr:row>58</xdr:row>
      <xdr:rowOff>142875</xdr:rowOff>
    </xdr:to>
    <xdr:pic>
      <xdr:nvPicPr>
        <xdr:cNvPr id="56452" name="図 1">
          <a:extLst>
            <a:ext uri="{FF2B5EF4-FFF2-40B4-BE49-F238E27FC236}">
              <a16:creationId xmlns:a16="http://schemas.microsoft.com/office/drawing/2014/main" id="{00000000-0008-0000-0900-000084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6450" y="10106025"/>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109855</xdr:colOff>
      <xdr:row>22</xdr:row>
      <xdr:rowOff>0</xdr:rowOff>
    </xdr:from>
    <xdr:to>
      <xdr:col>10</xdr:col>
      <xdr:colOff>1</xdr:colOff>
      <xdr:row>22</xdr:row>
      <xdr:rowOff>0</xdr:rowOff>
    </xdr:to>
    <xdr:sp macro="" textlink="">
      <xdr:nvSpPr>
        <xdr:cNvPr id="2" name="Text Box 2">
          <a:extLst>
            <a:ext uri="{FF2B5EF4-FFF2-40B4-BE49-F238E27FC236}">
              <a16:creationId xmlns:a16="http://schemas.microsoft.com/office/drawing/2014/main" id="{00000000-0008-0000-0A00-000002000000}"/>
            </a:ext>
          </a:extLst>
        </xdr:cNvPr>
        <xdr:cNvSpPr txBox="1">
          <a:spLocks noChangeArrowheads="1"/>
        </xdr:cNvSpPr>
      </xdr:nvSpPr>
      <xdr:spPr bwMode="auto">
        <a:xfrm>
          <a:off x="3443605" y="8420100"/>
          <a:ext cx="2823846"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HGP明朝B"/>
              <a:ea typeface="HGP明朝B"/>
            </a:rPr>
            <a:t>第１回</a:t>
          </a:r>
          <a:endParaRPr lang="ja-JP" altLang="en-US" sz="1100" b="0" i="0" u="none" strike="noStrike" baseline="0">
            <a:solidFill>
              <a:srgbClr val="000000"/>
            </a:solidFill>
            <a:latin typeface="HGP明朝B"/>
            <a:ea typeface="HGP明朝B"/>
          </a:endParaRPr>
        </a:p>
        <a:p>
          <a:pPr algn="l" rtl="0">
            <a:defRPr sz="1000"/>
          </a:pPr>
          <a:endParaRPr lang="ja-JP" altLang="en-US" sz="1100" b="0" i="0" u="none" strike="noStrike" baseline="0">
            <a:solidFill>
              <a:srgbClr val="000000"/>
            </a:solidFill>
            <a:latin typeface="HGP明朝B"/>
            <a:ea typeface="HGP明朝B"/>
          </a:endParaRPr>
        </a:p>
        <a:p>
          <a:pPr algn="l" rtl="0">
            <a:defRPr sz="1000"/>
          </a:pPr>
          <a:r>
            <a:rPr lang="ja-JP" altLang="en-US" sz="1800" b="0" i="0" u="none" strike="noStrike" baseline="0">
              <a:solidFill>
                <a:srgbClr val="000000"/>
              </a:solidFill>
              <a:latin typeface="HGP明朝B"/>
              <a:ea typeface="HGP明朝B"/>
            </a:rPr>
            <a:t>　</a:t>
          </a:r>
          <a:r>
            <a:rPr lang="ja-JP" altLang="en-US" sz="1800" b="1" i="0" u="none" strike="noStrike" baseline="0">
              <a:solidFill>
                <a:srgbClr val="000000"/>
              </a:solidFill>
              <a:latin typeface="HGP明朝B"/>
              <a:ea typeface="HGP明朝B"/>
            </a:rPr>
            <a:t>マスターズ・デフバレーボールカップ</a:t>
          </a:r>
          <a:endParaRPr lang="ja-JP" altLang="en-US" sz="1100" b="0" i="0" u="none" strike="noStrike" baseline="0">
            <a:solidFill>
              <a:srgbClr val="000000"/>
            </a:solidFill>
            <a:latin typeface="HGP明朝B"/>
            <a:ea typeface="HGP明朝B"/>
          </a:endParaRPr>
        </a:p>
        <a:p>
          <a:pPr algn="l" rtl="0">
            <a:defRPr sz="1000"/>
          </a:pPr>
          <a:r>
            <a:rPr lang="ja-JP" altLang="en-US" sz="1100" b="0" i="0" u="none" strike="noStrike" baseline="0">
              <a:solidFill>
                <a:srgbClr val="000000"/>
              </a:solidFill>
              <a:latin typeface="HGP明朝B"/>
              <a:ea typeface="HGP明朝B"/>
            </a:rPr>
            <a:t>　　　　　　　　　　　　</a:t>
          </a:r>
        </a:p>
        <a:p>
          <a:pPr algn="l" rtl="0">
            <a:defRPr sz="1000"/>
          </a:pPr>
          <a:r>
            <a:rPr lang="ja-JP" altLang="en-US" sz="1100" b="0" i="0" u="none" strike="noStrike" baseline="0">
              <a:solidFill>
                <a:srgbClr val="000000"/>
              </a:solidFill>
              <a:latin typeface="HGP明朝B"/>
              <a:ea typeface="HGP明朝B"/>
            </a:rPr>
            <a:t>　　　　　　　　　　　　　　　　　　　　　　　　　　　　　　　</a:t>
          </a:r>
          <a:r>
            <a:rPr lang="ja-JP" altLang="en-US" sz="1400" b="0" i="0" u="none" strike="noStrike" baseline="0">
              <a:solidFill>
                <a:srgbClr val="000000"/>
              </a:solidFill>
              <a:latin typeface="HGP明朝B"/>
              <a:ea typeface="HGP明朝B"/>
            </a:rPr>
            <a:t>　兵庫大会</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k-fs01\200_it&#12469;&#12540;&#12499;&#12473;g\30_&#12473;&#12509;&#12540;&#12484;&#12452;&#12505;&#12531;&#12488;T\01_&#26989;&#21209;&#12487;&#12540;&#12479;&#65288;&#31354;&#25163;&#20197;&#22806;&#65289;\09_&#26085;&#26412;&#12487;&#12501;&#12496;&#12524;&#12540;&#21332;&#20250;\&#31532;23&#22238;JDVA&#12459;&#12483;&#12503;%202022&#24180;&#12304;&#28310;&#20633;&#20013;&#12305;\20.&#12304;&#31532;23&#22238;JDVA&#12305;&#30003;&#36796;&#29872;&#22659;&#12510;&#12473;&#12479;\1.&#30003;&#36796;&#26360;\&#38283;&#30330;\&#39640;&#30000;&#20808;&#29983;&#30906;&#35469;&#29992;\&#12304;JDVA&#12525;&#12468;&#20837;&#12426;&#12305;&#12304;&#30906;&#35469;&#29992;ver3&#12305;JDVA22_&#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Y_NAME_DEF"/>
      <sheetName val="ファイルの説明"/>
      <sheetName val="参加者登録申込書"/>
      <sheetName val="①大会参加申込書"/>
      <sheetName val="②選手登録名簿"/>
      <sheetName val="③出場者一覧"/>
      <sheetName val="④診断リスト"/>
      <sheetName val="【自動入力】エントリーシート"/>
      <sheetName val="MY_MATRIX"/>
      <sheetName val="⑤傷害保険加入者一覧"/>
    </sheetNames>
    <sheetDataSet>
      <sheetData sheetId="0">
        <row r="5">
          <cell r="B5" t="str">
            <v>DEAF</v>
          </cell>
        </row>
        <row r="6">
          <cell r="B6" t="str">
            <v>聴者</v>
          </cell>
        </row>
        <row r="7">
          <cell r="B7" t="str">
            <v>高校生以下</v>
          </cell>
        </row>
        <row r="12">
          <cell r="B12" t="str">
            <v>（今回登録）</v>
          </cell>
        </row>
        <row r="13">
          <cell r="B13" t="str">
            <v>通常会員</v>
          </cell>
        </row>
        <row r="21">
          <cell r="B21" t="str">
            <v>男子チーム</v>
          </cell>
        </row>
        <row r="22">
          <cell r="B22" t="str">
            <v>女子チーム</v>
          </cell>
        </row>
        <row r="31">
          <cell r="B31" t="str">
            <v>正会員</v>
          </cell>
        </row>
        <row r="32">
          <cell r="B32" t="str">
            <v>賛助会員</v>
          </cell>
          <cell r="D32" t="str">
            <v>c.vodafone.ne.jp</v>
          </cell>
          <cell r="E32" t="str">
            <v>a.tsukuba-tech.ac.jp</v>
          </cell>
          <cell r="F32" t="str">
            <v>a.tsukuba-tech.ac.jp</v>
          </cell>
        </row>
        <row r="33">
          <cell r="B33" t="str">
            <v>学生会員</v>
          </cell>
          <cell r="D33" t="str">
            <v>docomo.ne.jp</v>
          </cell>
          <cell r="E33" t="str">
            <v>gmail.com</v>
          </cell>
          <cell r="F33" t="str">
            <v>c.vodafone.ne.jp</v>
          </cell>
        </row>
        <row r="34">
          <cell r="D34" t="str">
            <v>ezweb.ne.jp</v>
          </cell>
          <cell r="E34" t="str">
            <v>hotmail.co.jp</v>
          </cell>
          <cell r="F34" t="str">
            <v>docomo.ne.jp</v>
          </cell>
        </row>
        <row r="35">
          <cell r="D35" t="str">
            <v>gmail.com</v>
          </cell>
          <cell r="E35" t="str">
            <v>hotmail.com</v>
          </cell>
          <cell r="F35" t="str">
            <v>ezweb.ne.jp</v>
          </cell>
        </row>
        <row r="36">
          <cell r="D36" t="str">
            <v>i.softbank.jp</v>
          </cell>
          <cell r="E36" t="str">
            <v>icloud.com</v>
          </cell>
          <cell r="F36" t="str">
            <v>gmail.com</v>
          </cell>
        </row>
        <row r="37">
          <cell r="D37" t="str">
            <v>icloud.com</v>
          </cell>
          <cell r="E37" t="str">
            <v>nifty.com</v>
          </cell>
          <cell r="F37" t="str">
            <v>hotmail.co.jp</v>
          </cell>
        </row>
        <row r="38">
          <cell r="D38" t="str">
            <v>softbank.ne.jp</v>
          </cell>
          <cell r="E38" t="str">
            <v>yahoo.co.jp</v>
          </cell>
          <cell r="F38" t="str">
            <v>hotmail.com</v>
          </cell>
        </row>
        <row r="39">
          <cell r="D39" t="str">
            <v>t.vodafone.ne.jp</v>
          </cell>
          <cell r="F39" t="str">
            <v>i.softbank.jp</v>
          </cell>
        </row>
        <row r="40">
          <cell r="F40" t="str">
            <v>icloud.com</v>
          </cell>
        </row>
        <row r="41">
          <cell r="F41" t="str">
            <v>nifty.com</v>
          </cell>
        </row>
        <row r="42">
          <cell r="F42" t="str">
            <v>softbank.ne.jp</v>
          </cell>
        </row>
        <row r="43">
          <cell r="F43" t="str">
            <v>t.vodafone.ne.jp</v>
          </cell>
        </row>
        <row r="44">
          <cell r="F44" t="str">
            <v>yahoo.co.jp</v>
          </cell>
        </row>
      </sheetData>
      <sheetData sheetId="1"/>
      <sheetData sheetId="2"/>
      <sheetData sheetId="3"/>
      <sheetData sheetId="4"/>
      <sheetData sheetId="5"/>
      <sheetData sheetId="6"/>
      <sheetData sheetId="7"/>
      <sheetData sheetId="8">
        <row r="4">
          <cell r="H4" t="str">
            <v>北海道</v>
          </cell>
        </row>
        <row r="5">
          <cell r="H5" t="str">
            <v>青森県</v>
          </cell>
        </row>
        <row r="6">
          <cell r="H6" t="str">
            <v>岩手県</v>
          </cell>
        </row>
        <row r="7">
          <cell r="H7" t="str">
            <v>宮城県</v>
          </cell>
        </row>
        <row r="8">
          <cell r="H8" t="str">
            <v>秋田県</v>
          </cell>
        </row>
        <row r="9">
          <cell r="H9" t="str">
            <v>山形県</v>
          </cell>
        </row>
        <row r="10">
          <cell r="H10" t="str">
            <v>福島県</v>
          </cell>
        </row>
        <row r="11">
          <cell r="H11" t="str">
            <v>茨城県</v>
          </cell>
        </row>
        <row r="12">
          <cell r="H12" t="str">
            <v>栃木県</v>
          </cell>
        </row>
        <row r="13">
          <cell r="H13" t="str">
            <v>群馬県</v>
          </cell>
        </row>
        <row r="14">
          <cell r="H14" t="str">
            <v>埼玉県</v>
          </cell>
        </row>
        <row r="15">
          <cell r="H15" t="str">
            <v>千葉県</v>
          </cell>
        </row>
        <row r="16">
          <cell r="H16" t="str">
            <v>東京都</v>
          </cell>
        </row>
        <row r="17">
          <cell r="H17" t="str">
            <v>神奈川県</v>
          </cell>
        </row>
        <row r="18">
          <cell r="H18" t="str">
            <v>山梨県</v>
          </cell>
        </row>
        <row r="19">
          <cell r="H19" t="str">
            <v>長野県</v>
          </cell>
        </row>
        <row r="20">
          <cell r="H20" t="str">
            <v>新潟県</v>
          </cell>
        </row>
        <row r="21">
          <cell r="H21" t="str">
            <v>富山県</v>
          </cell>
        </row>
        <row r="22">
          <cell r="H22" t="str">
            <v>石川県</v>
          </cell>
        </row>
        <row r="23">
          <cell r="H23" t="str">
            <v>福井県</v>
          </cell>
        </row>
        <row r="24">
          <cell r="H24" t="str">
            <v>静岡県</v>
          </cell>
        </row>
        <row r="25">
          <cell r="H25" t="str">
            <v>愛知県</v>
          </cell>
        </row>
        <row r="26">
          <cell r="H26" t="str">
            <v>三重県</v>
          </cell>
        </row>
        <row r="27">
          <cell r="H27" t="str">
            <v>岐阜県</v>
          </cell>
        </row>
        <row r="28">
          <cell r="H28" t="str">
            <v>滋賀県</v>
          </cell>
        </row>
        <row r="29">
          <cell r="H29" t="str">
            <v>京都府</v>
          </cell>
        </row>
        <row r="30">
          <cell r="H30" t="str">
            <v>大阪府</v>
          </cell>
        </row>
        <row r="31">
          <cell r="H31" t="str">
            <v>兵庫県</v>
          </cell>
        </row>
        <row r="32">
          <cell r="H32" t="str">
            <v>奈良県</v>
          </cell>
        </row>
        <row r="33">
          <cell r="H33" t="str">
            <v>和歌山県</v>
          </cell>
        </row>
        <row r="34">
          <cell r="H34" t="str">
            <v>鳥取県</v>
          </cell>
        </row>
        <row r="35">
          <cell r="H35" t="str">
            <v>島根県</v>
          </cell>
        </row>
        <row r="36">
          <cell r="H36" t="str">
            <v>岡山県</v>
          </cell>
        </row>
        <row r="37">
          <cell r="H37" t="str">
            <v>広島県</v>
          </cell>
        </row>
        <row r="38">
          <cell r="H38" t="str">
            <v>山口県</v>
          </cell>
        </row>
        <row r="39">
          <cell r="H39" t="str">
            <v>徳島県</v>
          </cell>
        </row>
        <row r="40">
          <cell r="H40" t="str">
            <v>香川県</v>
          </cell>
        </row>
        <row r="41">
          <cell r="H41" t="str">
            <v>愛媛県</v>
          </cell>
        </row>
        <row r="42">
          <cell r="H42" t="str">
            <v>高知県</v>
          </cell>
        </row>
        <row r="43">
          <cell r="H43" t="str">
            <v>福岡県</v>
          </cell>
        </row>
        <row r="44">
          <cell r="H44" t="str">
            <v>佐賀県</v>
          </cell>
        </row>
        <row r="45">
          <cell r="H45" t="str">
            <v>長崎県</v>
          </cell>
        </row>
        <row r="46">
          <cell r="H46" t="str">
            <v>熊本県</v>
          </cell>
        </row>
        <row r="47">
          <cell r="H47" t="str">
            <v>大分県</v>
          </cell>
        </row>
        <row r="48">
          <cell r="H48" t="str">
            <v>宮崎県</v>
          </cell>
        </row>
        <row r="49">
          <cell r="H49" t="str">
            <v>鹿児島県</v>
          </cell>
        </row>
        <row r="50">
          <cell r="H50" t="str">
            <v>沖縄県</v>
          </cell>
        </row>
      </sheetData>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jdva-entry@fsk-inc.co.jp?subject=&#12304;&#30003;&#36796;&#12415;&#12305;%20&#31532;&#65297;&#65304;&#22238;&#24029;&#23822;&#22823;&#20250;%20&#65306;%20%3c&#12481;&#12540;&#12512;&#21517;&#12434;&#35352;&#36617;&#12375;&#12390;&#19979;&#12373;&#12356;%3e"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8" Type="http://schemas.openxmlformats.org/officeDocument/2006/relationships/ctrlProp" Target="../ctrlProps/ctrlProp7.xml"/><Relationship Id="rId3" Type="http://schemas.openxmlformats.org/officeDocument/2006/relationships/vmlDrawing" Target="../drawings/vmlDrawing2.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V45"/>
  <sheetViews>
    <sheetView workbookViewId="0"/>
  </sheetViews>
  <sheetFormatPr defaultRowHeight="13.5" x14ac:dyDescent="0.15"/>
  <cols>
    <col min="2" max="2" width="16.25" customWidth="1"/>
    <col min="3" max="3" width="9.875" customWidth="1"/>
    <col min="4" max="4" width="17.625" customWidth="1"/>
    <col min="5" max="5" width="23.5" customWidth="1"/>
    <col min="6" max="6" width="20.875" customWidth="1"/>
    <col min="7" max="12" width="13.625" customWidth="1"/>
    <col min="13" max="22" width="12.5" customWidth="1"/>
    <col min="23" max="26" width="9" customWidth="1"/>
  </cols>
  <sheetData>
    <row r="1" spans="1:22" ht="39.75" customHeight="1" x14ac:dyDescent="0.15">
      <c r="B1" s="403" t="s">
        <v>234</v>
      </c>
      <c r="C1" s="403"/>
      <c r="D1" s="59" t="s">
        <v>587</v>
      </c>
      <c r="E1" s="60">
        <v>45237</v>
      </c>
    </row>
    <row r="2" spans="1:22" x14ac:dyDescent="0.15">
      <c r="B2" t="s">
        <v>11</v>
      </c>
    </row>
    <row r="4" spans="1:22" x14ac:dyDescent="0.15">
      <c r="B4" s="2" t="s">
        <v>12</v>
      </c>
      <c r="D4" s="2" t="s">
        <v>16</v>
      </c>
      <c r="G4" s="2" t="s">
        <v>19</v>
      </c>
      <c r="H4" s="2" t="s">
        <v>20</v>
      </c>
      <c r="I4" s="2" t="s">
        <v>21</v>
      </c>
      <c r="J4" s="2" t="s">
        <v>22</v>
      </c>
      <c r="K4" s="2" t="s">
        <v>23</v>
      </c>
      <c r="L4" s="2" t="s">
        <v>24</v>
      </c>
      <c r="M4" s="2" t="s">
        <v>25</v>
      </c>
      <c r="N4" s="2" t="s">
        <v>26</v>
      </c>
      <c r="O4" s="2" t="s">
        <v>27</v>
      </c>
      <c r="P4" s="2" t="s">
        <v>28</v>
      </c>
      <c r="Q4" s="2" t="s">
        <v>29</v>
      </c>
      <c r="R4" s="2" t="s">
        <v>30</v>
      </c>
      <c r="S4" s="2" t="s">
        <v>31</v>
      </c>
      <c r="T4" s="2" t="s">
        <v>32</v>
      </c>
      <c r="U4" s="2" t="s">
        <v>33</v>
      </c>
      <c r="V4" s="2" t="s">
        <v>34</v>
      </c>
    </row>
    <row r="5" spans="1:22" x14ac:dyDescent="0.15">
      <c r="B5" t="s">
        <v>13</v>
      </c>
      <c r="D5" t="s">
        <v>17</v>
      </c>
      <c r="F5" t="s">
        <v>35</v>
      </c>
      <c r="G5" s="3"/>
      <c r="H5" t="s">
        <v>36</v>
      </c>
      <c r="I5" t="s">
        <v>37</v>
      </c>
      <c r="J5" t="s">
        <v>37</v>
      </c>
      <c r="K5" t="s">
        <v>38</v>
      </c>
      <c r="L5" t="s">
        <v>38</v>
      </c>
      <c r="M5" t="s">
        <v>38</v>
      </c>
      <c r="N5" t="s">
        <v>38</v>
      </c>
      <c r="O5" t="s">
        <v>39</v>
      </c>
      <c r="P5" t="s">
        <v>39</v>
      </c>
      <c r="Q5" t="s">
        <v>39</v>
      </c>
      <c r="R5" t="s">
        <v>39</v>
      </c>
      <c r="S5" t="s">
        <v>39</v>
      </c>
      <c r="T5" t="s">
        <v>39</v>
      </c>
      <c r="U5" t="s">
        <v>39</v>
      </c>
      <c r="V5" t="s">
        <v>39</v>
      </c>
    </row>
    <row r="6" spans="1:22" x14ac:dyDescent="0.15">
      <c r="B6" t="s">
        <v>488</v>
      </c>
      <c r="D6" t="s">
        <v>18</v>
      </c>
      <c r="F6" t="s">
        <v>40</v>
      </c>
      <c r="H6" s="3"/>
      <c r="I6" s="3"/>
      <c r="J6" t="s">
        <v>36</v>
      </c>
      <c r="K6" s="3"/>
      <c r="L6" t="s">
        <v>36</v>
      </c>
      <c r="M6" t="s">
        <v>37</v>
      </c>
      <c r="N6" t="s">
        <v>37</v>
      </c>
      <c r="O6" s="3"/>
      <c r="P6" t="s">
        <v>36</v>
      </c>
      <c r="Q6" t="s">
        <v>37</v>
      </c>
      <c r="R6" t="s">
        <v>37</v>
      </c>
      <c r="S6" t="s">
        <v>38</v>
      </c>
      <c r="T6" t="s">
        <v>38</v>
      </c>
      <c r="U6" t="s">
        <v>38</v>
      </c>
      <c r="V6" t="s">
        <v>38</v>
      </c>
    </row>
    <row r="7" spans="1:22" x14ac:dyDescent="0.15">
      <c r="B7" t="s">
        <v>15</v>
      </c>
      <c r="D7" s="1"/>
      <c r="F7" t="s">
        <v>41</v>
      </c>
      <c r="J7" s="3"/>
      <c r="L7" s="3"/>
      <c r="M7" s="3"/>
      <c r="N7" t="s">
        <v>36</v>
      </c>
      <c r="O7" s="4"/>
      <c r="P7" s="3"/>
      <c r="Q7" s="3"/>
      <c r="R7" t="s">
        <v>36</v>
      </c>
      <c r="S7" s="3"/>
      <c r="T7" t="s">
        <v>36</v>
      </c>
      <c r="U7" t="s">
        <v>37</v>
      </c>
      <c r="V7" t="s">
        <v>37</v>
      </c>
    </row>
    <row r="8" spans="1:22" x14ac:dyDescent="0.15">
      <c r="B8" s="1"/>
      <c r="F8" t="s">
        <v>42</v>
      </c>
      <c r="N8" s="3"/>
      <c r="O8" s="4"/>
      <c r="R8" s="3"/>
      <c r="T8" s="3"/>
      <c r="U8" s="3"/>
      <c r="V8" t="s">
        <v>36</v>
      </c>
    </row>
    <row r="9" spans="1:22" x14ac:dyDescent="0.15">
      <c r="O9" s="4"/>
      <c r="V9" s="3"/>
    </row>
    <row r="11" spans="1:22" x14ac:dyDescent="0.15">
      <c r="B11" s="2" t="s">
        <v>482</v>
      </c>
      <c r="D11" s="2" t="s">
        <v>90</v>
      </c>
    </row>
    <row r="12" spans="1:22" x14ac:dyDescent="0.15">
      <c r="A12" t="s">
        <v>525</v>
      </c>
      <c r="B12" t="s">
        <v>483</v>
      </c>
      <c r="D12" t="s">
        <v>18</v>
      </c>
    </row>
    <row r="13" spans="1:22" x14ac:dyDescent="0.15">
      <c r="A13" t="s">
        <v>524</v>
      </c>
      <c r="B13" t="s">
        <v>485</v>
      </c>
      <c r="D13" s="1"/>
    </row>
    <row r="14" spans="1:22" x14ac:dyDescent="0.15">
      <c r="C14" t="s">
        <v>484</v>
      </c>
    </row>
    <row r="15" spans="1:22" x14ac:dyDescent="0.15">
      <c r="B15" s="220"/>
      <c r="D15" s="2" t="s">
        <v>128</v>
      </c>
    </row>
    <row r="16" spans="1:22" x14ac:dyDescent="0.15">
      <c r="D16" s="1"/>
    </row>
    <row r="20" spans="2:6" x14ac:dyDescent="0.15">
      <c r="B20" s="2" t="s">
        <v>117</v>
      </c>
      <c r="D20" s="88" t="s">
        <v>354</v>
      </c>
    </row>
    <row r="21" spans="2:6" x14ac:dyDescent="0.15">
      <c r="B21" t="s">
        <v>115</v>
      </c>
      <c r="D21" s="89">
        <v>45017</v>
      </c>
      <c r="E21" s="354" t="s">
        <v>635</v>
      </c>
    </row>
    <row r="22" spans="2:6" x14ac:dyDescent="0.15">
      <c r="B22" t="s">
        <v>116</v>
      </c>
    </row>
    <row r="23" spans="2:6" x14ac:dyDescent="0.15">
      <c r="B23" s="1"/>
    </row>
    <row r="30" spans="2:6" x14ac:dyDescent="0.15">
      <c r="B30" s="2" t="s">
        <v>349</v>
      </c>
      <c r="D30" s="2" t="s">
        <v>390</v>
      </c>
      <c r="E30" s="2" t="s">
        <v>385</v>
      </c>
      <c r="F30" s="2" t="s">
        <v>399</v>
      </c>
    </row>
    <row r="31" spans="2:6" x14ac:dyDescent="0.15">
      <c r="B31" t="s">
        <v>350</v>
      </c>
      <c r="C31" t="s">
        <v>13</v>
      </c>
    </row>
    <row r="32" spans="2:6" x14ac:dyDescent="0.15">
      <c r="B32" t="s">
        <v>351</v>
      </c>
      <c r="C32" t="s">
        <v>14</v>
      </c>
      <c r="D32" t="s">
        <v>391</v>
      </c>
      <c r="E32" t="s">
        <v>386</v>
      </c>
      <c r="F32" t="s">
        <v>386</v>
      </c>
    </row>
    <row r="33" spans="2:6" x14ac:dyDescent="0.15">
      <c r="B33" t="s">
        <v>352</v>
      </c>
      <c r="C33" t="s">
        <v>15</v>
      </c>
      <c r="D33" t="s">
        <v>392</v>
      </c>
      <c r="E33" t="s">
        <v>387</v>
      </c>
      <c r="F33" t="s">
        <v>391</v>
      </c>
    </row>
    <row r="34" spans="2:6" x14ac:dyDescent="0.15">
      <c r="B34" s="1"/>
      <c r="D34" t="s">
        <v>393</v>
      </c>
      <c r="E34" t="s">
        <v>461</v>
      </c>
      <c r="F34" t="s">
        <v>392</v>
      </c>
    </row>
    <row r="35" spans="2:6" x14ac:dyDescent="0.15">
      <c r="D35" t="s">
        <v>387</v>
      </c>
      <c r="E35" t="s">
        <v>462</v>
      </c>
      <c r="F35" t="s">
        <v>393</v>
      </c>
    </row>
    <row r="36" spans="2:6" x14ac:dyDescent="0.15">
      <c r="D36" t="s">
        <v>394</v>
      </c>
      <c r="E36" t="s">
        <v>395</v>
      </c>
      <c r="F36" t="s">
        <v>387</v>
      </c>
    </row>
    <row r="37" spans="2:6" x14ac:dyDescent="0.15">
      <c r="D37" t="s">
        <v>395</v>
      </c>
      <c r="E37" t="s">
        <v>388</v>
      </c>
      <c r="F37" t="s">
        <v>461</v>
      </c>
    </row>
    <row r="38" spans="2:6" x14ac:dyDescent="0.15">
      <c r="D38" t="s">
        <v>396</v>
      </c>
      <c r="E38" t="s">
        <v>389</v>
      </c>
      <c r="F38" t="s">
        <v>462</v>
      </c>
    </row>
    <row r="39" spans="2:6" x14ac:dyDescent="0.15">
      <c r="D39" t="s">
        <v>460</v>
      </c>
      <c r="E39" s="107"/>
      <c r="F39" t="s">
        <v>394</v>
      </c>
    </row>
    <row r="40" spans="2:6" x14ac:dyDescent="0.15">
      <c r="D40" s="107"/>
      <c r="F40" t="s">
        <v>395</v>
      </c>
    </row>
    <row r="41" spans="2:6" x14ac:dyDescent="0.15">
      <c r="F41" t="s">
        <v>388</v>
      </c>
    </row>
    <row r="42" spans="2:6" x14ac:dyDescent="0.15">
      <c r="F42" t="s">
        <v>396</v>
      </c>
    </row>
    <row r="43" spans="2:6" x14ac:dyDescent="0.15">
      <c r="F43" t="s">
        <v>460</v>
      </c>
    </row>
    <row r="44" spans="2:6" x14ac:dyDescent="0.15">
      <c r="F44" t="s">
        <v>389</v>
      </c>
    </row>
    <row r="45" spans="2:6" x14ac:dyDescent="0.15">
      <c r="F45" s="107"/>
    </row>
  </sheetData>
  <sheetProtection password="FFBB" sheet="1" selectLockedCells="1"/>
  <mergeCells count="1">
    <mergeCell ref="B1:C1"/>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R59"/>
  <sheetViews>
    <sheetView showGridLines="0" showRowColHeaders="0" zoomScaleNormal="100" zoomScaleSheetLayoutView="100" workbookViewId="0"/>
  </sheetViews>
  <sheetFormatPr defaultColWidth="9" defaultRowHeight="13.5" x14ac:dyDescent="0.15"/>
  <cols>
    <col min="1" max="1" width="3.5" customWidth="1"/>
    <col min="2" max="3" width="4.625" customWidth="1"/>
    <col min="4" max="5" width="8.625" customWidth="1"/>
    <col min="6" max="7" width="3.5" customWidth="1"/>
    <col min="8" max="9" width="4.625" customWidth="1"/>
    <col min="10" max="11" width="8.625" customWidth="1"/>
    <col min="12" max="13" width="3.5" customWidth="1"/>
    <col min="14" max="15" width="4.625" customWidth="1"/>
    <col min="16" max="17" width="8.625" customWidth="1"/>
    <col min="18" max="18" width="3.5" customWidth="1"/>
  </cols>
  <sheetData>
    <row r="1" spans="1:18" ht="22.5" customHeight="1" thickBot="1" x14ac:dyDescent="0.25">
      <c r="A1" s="318" t="s">
        <v>581</v>
      </c>
      <c r="E1" s="345"/>
      <c r="F1" s="319" t="s">
        <v>586</v>
      </c>
      <c r="O1" s="319"/>
    </row>
    <row r="2" spans="1:18" ht="11.25" customHeight="1" x14ac:dyDescent="0.15">
      <c r="A2" s="320"/>
      <c r="B2" s="321"/>
      <c r="C2" s="321"/>
      <c r="D2" s="322"/>
      <c r="E2" s="322"/>
      <c r="F2" s="322"/>
      <c r="G2" s="323"/>
      <c r="H2" s="322"/>
      <c r="I2" s="322"/>
      <c r="J2" s="322"/>
      <c r="K2" s="322"/>
      <c r="L2" s="362"/>
      <c r="M2" s="322"/>
      <c r="N2" s="322"/>
      <c r="O2" s="322"/>
      <c r="P2" s="322"/>
      <c r="Q2" s="322"/>
      <c r="R2" s="324"/>
    </row>
    <row r="3" spans="1:18" ht="14.25" x14ac:dyDescent="0.15">
      <c r="A3" s="325"/>
      <c r="B3" s="1062" t="s">
        <v>582</v>
      </c>
      <c r="C3" s="1062"/>
      <c r="D3" s="1062"/>
      <c r="E3" s="1062"/>
      <c r="F3" s="326"/>
      <c r="G3" s="327"/>
      <c r="H3" s="1062" t="s">
        <v>582</v>
      </c>
      <c r="I3" s="1062"/>
      <c r="J3" s="1062"/>
      <c r="K3" s="1062"/>
      <c r="L3" s="363"/>
      <c r="M3" s="326"/>
      <c r="N3" s="1062" t="s">
        <v>582</v>
      </c>
      <c r="O3" s="1062"/>
      <c r="P3" s="1062"/>
      <c r="Q3" s="1062"/>
      <c r="R3" s="328"/>
    </row>
    <row r="4" spans="1:18" ht="14.25" x14ac:dyDescent="0.15">
      <c r="A4" s="325"/>
      <c r="B4" s="1063" t="str">
        <f>IF(ISERROR(③出場者一覧!D3),"",③出場者一覧!D3)</f>
        <v/>
      </c>
      <c r="C4" s="1064"/>
      <c r="D4" s="1064"/>
      <c r="E4" s="1064"/>
      <c r="F4" s="326"/>
      <c r="G4" s="327"/>
      <c r="H4" s="1063" t="str">
        <f>③出場者一覧!D3</f>
        <v/>
      </c>
      <c r="I4" s="1064"/>
      <c r="J4" s="1064"/>
      <c r="K4" s="1064"/>
      <c r="L4" s="363"/>
      <c r="M4" s="326"/>
      <c r="N4" s="1063" t="str">
        <f>③出場者一覧!D3</f>
        <v/>
      </c>
      <c r="O4" s="1064"/>
      <c r="P4" s="1064"/>
      <c r="Q4" s="1064"/>
      <c r="R4" s="328"/>
    </row>
    <row r="5" spans="1:18" ht="14.25" x14ac:dyDescent="0.15">
      <c r="A5" s="325"/>
      <c r="B5" s="1065" t="s">
        <v>8</v>
      </c>
      <c r="C5" s="1066"/>
      <c r="D5" s="315" t="s">
        <v>1</v>
      </c>
      <c r="E5" s="316" t="s">
        <v>2</v>
      </c>
      <c r="F5" s="326"/>
      <c r="G5" s="327"/>
      <c r="H5" s="1065" t="s">
        <v>8</v>
      </c>
      <c r="I5" s="1066"/>
      <c r="J5" s="315" t="s">
        <v>1</v>
      </c>
      <c r="K5" s="316" t="s">
        <v>2</v>
      </c>
      <c r="L5" s="363"/>
      <c r="M5" s="326"/>
      <c r="N5" s="1065" t="s">
        <v>8</v>
      </c>
      <c r="O5" s="1066"/>
      <c r="P5" s="315" t="s">
        <v>1</v>
      </c>
      <c r="Q5" s="316" t="s">
        <v>2</v>
      </c>
      <c r="R5" s="328"/>
    </row>
    <row r="6" spans="1:18" ht="14.25" x14ac:dyDescent="0.15">
      <c r="A6" s="325"/>
      <c r="B6" s="357" t="str">
        <f>IF(ISERROR(IF(③出場者一覧!C10="主将","C","")),"",IF(③出場者一覧!C10="主将","C",""))</f>
        <v/>
      </c>
      <c r="C6" s="358" t="str">
        <f>IF(ISERROR(③出場者一覧!E10),"",③出場者一覧!E10)</f>
        <v/>
      </c>
      <c r="D6" s="359" t="str">
        <f>IF(ISERROR(LEFT(VLOOKUP(IF(ISNUMBER(C6),C6,_xlfn.UNICODE(C6)-9312+1),③出場者一覧!$E$10:$F$23,2,FALSE),SEARCH("　",VLOOKUP(IF(ISNUMBER(C6),C6,_xlfn.UNICODE(C6)-9312+1),③出場者一覧!$E$10:$F$23,2,FALSE))-1)),IF(ISERROR(VLOOKUP(IF(ISNUMBER(C6),C6,_xlfn.UNICODE(C6)-9312+1),③出場者一覧!$E$10:$F$23,2,FALSE)),"",VLOOKUP(IF(ISNUMBER(C6),C6,_xlfn.UNICODE(C6)-9312+1),③出場者一覧!$E$10:$F$23,2,FALSE)),LEFT(VLOOKUP(IF(ISNUMBER(C6),C6,_xlfn.UNICODE(C6)-9312+1),③出場者一覧!$E$10:$F$23,2,FALSE),SEARCH("　",VLOOKUP(IF(ISNUMBER(C6),C6,_xlfn.UNICODE(C6)-9312+1),③出場者一覧!$E$10:$F$23,2,FALSE))-1))</f>
        <v/>
      </c>
      <c r="E6" s="360" t="str">
        <f>IF(ISERROR(MID(VLOOKUP(IF(ISNUMBER(C6),C6,_xlfn.UNICODE(C6)-9312+1),③出場者一覧!$E$10:$F$23,2,FALSE),SEARCH("　",VLOOKUP(IF(ISNUMBER(C6),C6,_xlfn.UNICODE(C6)-9312+1),③出場者一覧!$E$10:$F$23,2,FALSE))+1,10)),IF(ISERROR(VLOOKUP(IF(ISNUMBER(C6),C6,_xlfn.UNICODE(C6)-9312+1),③出場者一覧!$E$10:$F$23,2,FALSE)),"",VLOOKUP(IF(ISNUMBER(C6),C6,_xlfn.UNICODE(C6)-9312+1),③出場者一覧!$E$10:$F$23,2,FALSE)),MID(VLOOKUP(IF(ISNUMBER(C6),C6,_xlfn.UNICODE(C6)-9312+1),③出場者一覧!$E$10:$F$23,2,FALSE),SEARCH("　",VLOOKUP(IF(ISNUMBER(C6),C6,_xlfn.UNICODE(C6)-9312+1),③出場者一覧!$E$10:$F$23,2,FALSE))+1,10))</f>
        <v/>
      </c>
      <c r="F6" s="326"/>
      <c r="G6" s="329"/>
      <c r="H6" s="357" t="str">
        <f t="shared" ref="H6:H19" si="0">B6</f>
        <v/>
      </c>
      <c r="I6" s="358" t="str">
        <f t="shared" ref="I6:I19" si="1">C6</f>
        <v/>
      </c>
      <c r="J6" s="359" t="str">
        <f t="shared" ref="J6:J19" si="2">D6</f>
        <v/>
      </c>
      <c r="K6" s="360" t="str">
        <f t="shared" ref="K6:K19" si="3">E6</f>
        <v/>
      </c>
      <c r="L6" s="363"/>
      <c r="M6" s="326"/>
      <c r="N6" s="357" t="str">
        <f t="shared" ref="N6:N19" si="4">B6</f>
        <v/>
      </c>
      <c r="O6" s="358" t="str">
        <f t="shared" ref="O6:O19" si="5">C6</f>
        <v/>
      </c>
      <c r="P6" s="359" t="str">
        <f t="shared" ref="P6:P19" si="6">D6</f>
        <v/>
      </c>
      <c r="Q6" s="360" t="str">
        <f t="shared" ref="Q6:Q19" si="7">E6</f>
        <v/>
      </c>
      <c r="R6" s="328"/>
    </row>
    <row r="7" spans="1:18" ht="14.25" x14ac:dyDescent="0.15">
      <c r="A7" s="325"/>
      <c r="B7" s="357" t="str">
        <f>IF(ISERROR(IF(③出場者一覧!C11="主将","C","")),"",IF(③出場者一覧!C11="主将","C",""))</f>
        <v/>
      </c>
      <c r="C7" s="358" t="str">
        <f>IF(ISERROR(③出場者一覧!E11),"",③出場者一覧!E11)</f>
        <v/>
      </c>
      <c r="D7" s="359" t="str">
        <f>IF(ISERROR(LEFT(VLOOKUP(IF(ISNUMBER(C7),C7,_xlfn.UNICODE(C7)-9312+1),③出場者一覧!$E$10:$F$23,2,FALSE),SEARCH("　",VLOOKUP(IF(ISNUMBER(C7),C7,_xlfn.UNICODE(C7)-9312+1),③出場者一覧!$E$10:$F$23,2,FALSE))-1)),IF(ISERROR(VLOOKUP(IF(ISNUMBER(C7),C7,_xlfn.UNICODE(C7)-9312+1),③出場者一覧!$E$10:$F$23,2,FALSE)),"",VLOOKUP(IF(ISNUMBER(C7),C7,_xlfn.UNICODE(C7)-9312+1),③出場者一覧!$E$10:$F$23,2,FALSE)),LEFT(VLOOKUP(IF(ISNUMBER(C7),C7,_xlfn.UNICODE(C7)-9312+1),③出場者一覧!$E$10:$F$23,2,FALSE),SEARCH("　",VLOOKUP(IF(ISNUMBER(C7),C7,_xlfn.UNICODE(C7)-9312+1),③出場者一覧!$E$10:$F$23,2,FALSE))-1))</f>
        <v/>
      </c>
      <c r="E7" s="360" t="str">
        <f>IF(ISERROR(MID(VLOOKUP(IF(ISNUMBER(C7),C7,_xlfn.UNICODE(C7)-9312+1),③出場者一覧!$E$10:$F$23,2,FALSE),SEARCH("　",VLOOKUP(IF(ISNUMBER(C7),C7,_xlfn.UNICODE(C7)-9312+1),③出場者一覧!$E$10:$F$23,2,FALSE))+1,10)),IF(ISERROR(VLOOKUP(IF(ISNUMBER(C7),C7,_xlfn.UNICODE(C7)-9312+1),③出場者一覧!$E$10:$F$23,2,FALSE)),"",VLOOKUP(IF(ISNUMBER(C7),C7,_xlfn.UNICODE(C7)-9312+1),③出場者一覧!$E$10:$F$23,2,FALSE)),MID(VLOOKUP(IF(ISNUMBER(C7),C7,_xlfn.UNICODE(C7)-9312+1),③出場者一覧!$E$10:$F$23,2,FALSE),SEARCH("　",VLOOKUP(IF(ISNUMBER(C7),C7,_xlfn.UNICODE(C7)-9312+1),③出場者一覧!$E$10:$F$23,2,FALSE))+1,10))</f>
        <v/>
      </c>
      <c r="F7" s="326"/>
      <c r="G7" s="329"/>
      <c r="H7" s="357" t="str">
        <f t="shared" si="0"/>
        <v/>
      </c>
      <c r="I7" s="358" t="str">
        <f t="shared" si="1"/>
        <v/>
      </c>
      <c r="J7" s="359" t="str">
        <f t="shared" si="2"/>
        <v/>
      </c>
      <c r="K7" s="360" t="str">
        <f t="shared" si="3"/>
        <v/>
      </c>
      <c r="L7" s="363"/>
      <c r="M7" s="326"/>
      <c r="N7" s="357" t="str">
        <f t="shared" si="4"/>
        <v/>
      </c>
      <c r="O7" s="358" t="str">
        <f t="shared" si="5"/>
        <v/>
      </c>
      <c r="P7" s="359" t="str">
        <f t="shared" si="6"/>
        <v/>
      </c>
      <c r="Q7" s="360" t="str">
        <f t="shared" si="7"/>
        <v/>
      </c>
      <c r="R7" s="328"/>
    </row>
    <row r="8" spans="1:18" ht="14.25" x14ac:dyDescent="0.15">
      <c r="A8" s="325"/>
      <c r="B8" s="357" t="str">
        <f>IF(ISERROR(IF(③出場者一覧!C12="主将","C","")),"",IF(③出場者一覧!C12="主将","C",""))</f>
        <v/>
      </c>
      <c r="C8" s="358" t="str">
        <f>IF(ISERROR(③出場者一覧!E12),"",③出場者一覧!E12)</f>
        <v/>
      </c>
      <c r="D8" s="359" t="str">
        <f>IF(ISERROR(LEFT(VLOOKUP(IF(ISNUMBER(C8),C8,_xlfn.UNICODE(C8)-9312+1),③出場者一覧!$E$10:$F$23,2,FALSE),SEARCH("　",VLOOKUP(IF(ISNUMBER(C8),C8,_xlfn.UNICODE(C8)-9312+1),③出場者一覧!$E$10:$F$23,2,FALSE))-1)),IF(ISERROR(VLOOKUP(IF(ISNUMBER(C8),C8,_xlfn.UNICODE(C8)-9312+1),③出場者一覧!$E$10:$F$23,2,FALSE)),"",VLOOKUP(IF(ISNUMBER(C8),C8,_xlfn.UNICODE(C8)-9312+1),③出場者一覧!$E$10:$F$23,2,FALSE)),LEFT(VLOOKUP(IF(ISNUMBER(C8),C8,_xlfn.UNICODE(C8)-9312+1),③出場者一覧!$E$10:$F$23,2,FALSE),SEARCH("　",VLOOKUP(IF(ISNUMBER(C8),C8,_xlfn.UNICODE(C8)-9312+1),③出場者一覧!$E$10:$F$23,2,FALSE))-1))</f>
        <v/>
      </c>
      <c r="E8" s="360" t="str">
        <f>IF(ISERROR(MID(VLOOKUP(IF(ISNUMBER(C8),C8,_xlfn.UNICODE(C8)-9312+1),③出場者一覧!$E$10:$F$23,2,FALSE),SEARCH("　",VLOOKUP(IF(ISNUMBER(C8),C8,_xlfn.UNICODE(C8)-9312+1),③出場者一覧!$E$10:$F$23,2,FALSE))+1,10)),IF(ISERROR(VLOOKUP(IF(ISNUMBER(C8),C8,_xlfn.UNICODE(C8)-9312+1),③出場者一覧!$E$10:$F$23,2,FALSE)),"",VLOOKUP(IF(ISNUMBER(C8),C8,_xlfn.UNICODE(C8)-9312+1),③出場者一覧!$E$10:$F$23,2,FALSE)),MID(VLOOKUP(IF(ISNUMBER(C8),C8,_xlfn.UNICODE(C8)-9312+1),③出場者一覧!$E$10:$F$23,2,FALSE),SEARCH("　",VLOOKUP(IF(ISNUMBER(C8),C8,_xlfn.UNICODE(C8)-9312+1),③出場者一覧!$E$10:$F$23,2,FALSE))+1,10))</f>
        <v/>
      </c>
      <c r="F8" s="326"/>
      <c r="G8" s="329"/>
      <c r="H8" s="357" t="str">
        <f t="shared" si="0"/>
        <v/>
      </c>
      <c r="I8" s="358" t="str">
        <f t="shared" si="1"/>
        <v/>
      </c>
      <c r="J8" s="359" t="str">
        <f t="shared" si="2"/>
        <v/>
      </c>
      <c r="K8" s="360" t="str">
        <f t="shared" si="3"/>
        <v/>
      </c>
      <c r="L8" s="363"/>
      <c r="M8" s="326"/>
      <c r="N8" s="357" t="str">
        <f t="shared" si="4"/>
        <v/>
      </c>
      <c r="O8" s="358" t="str">
        <f t="shared" si="5"/>
        <v/>
      </c>
      <c r="P8" s="359" t="str">
        <f t="shared" si="6"/>
        <v/>
      </c>
      <c r="Q8" s="360" t="str">
        <f t="shared" si="7"/>
        <v/>
      </c>
      <c r="R8" s="328"/>
    </row>
    <row r="9" spans="1:18" ht="14.25" x14ac:dyDescent="0.15">
      <c r="A9" s="325"/>
      <c r="B9" s="357" t="str">
        <f>IF(ISERROR(IF(③出場者一覧!C13="主将","C","")),"",IF(③出場者一覧!C13="主将","C",""))</f>
        <v/>
      </c>
      <c r="C9" s="358" t="str">
        <f>IF(ISERROR(③出場者一覧!E13),"",③出場者一覧!E13)</f>
        <v/>
      </c>
      <c r="D9" s="359" t="str">
        <f>IF(ISERROR(LEFT(VLOOKUP(IF(ISNUMBER(C9),C9,_xlfn.UNICODE(C9)-9312+1),③出場者一覧!$E$10:$F$23,2,FALSE),SEARCH("　",VLOOKUP(IF(ISNUMBER(C9),C9,_xlfn.UNICODE(C9)-9312+1),③出場者一覧!$E$10:$F$23,2,FALSE))-1)),IF(ISERROR(VLOOKUP(IF(ISNUMBER(C9),C9,_xlfn.UNICODE(C9)-9312+1),③出場者一覧!$E$10:$F$23,2,FALSE)),"",VLOOKUP(IF(ISNUMBER(C9),C9,_xlfn.UNICODE(C9)-9312+1),③出場者一覧!$E$10:$F$23,2,FALSE)),LEFT(VLOOKUP(IF(ISNUMBER(C9),C9,_xlfn.UNICODE(C9)-9312+1),③出場者一覧!$E$10:$F$23,2,FALSE),SEARCH("　",VLOOKUP(IF(ISNUMBER(C9),C9,_xlfn.UNICODE(C9)-9312+1),③出場者一覧!$E$10:$F$23,2,FALSE))-1))</f>
        <v/>
      </c>
      <c r="E9" s="360" t="str">
        <f>IF(ISERROR(MID(VLOOKUP(IF(ISNUMBER(C9),C9,_xlfn.UNICODE(C9)-9312+1),③出場者一覧!$E$10:$F$23,2,FALSE),SEARCH("　",VLOOKUP(IF(ISNUMBER(C9),C9,_xlfn.UNICODE(C9)-9312+1),③出場者一覧!$E$10:$F$23,2,FALSE))+1,10)),IF(ISERROR(VLOOKUP(IF(ISNUMBER(C9),C9,_xlfn.UNICODE(C9)-9312+1),③出場者一覧!$E$10:$F$23,2,FALSE)),"",VLOOKUP(IF(ISNUMBER(C9),C9,_xlfn.UNICODE(C9)-9312+1),③出場者一覧!$E$10:$F$23,2,FALSE)),MID(VLOOKUP(IF(ISNUMBER(C9),C9,_xlfn.UNICODE(C9)-9312+1),③出場者一覧!$E$10:$F$23,2,FALSE),SEARCH("　",VLOOKUP(IF(ISNUMBER(C9),C9,_xlfn.UNICODE(C9)-9312+1),③出場者一覧!$E$10:$F$23,2,FALSE))+1,10))</f>
        <v/>
      </c>
      <c r="F9" s="326"/>
      <c r="G9" s="329"/>
      <c r="H9" s="357" t="str">
        <f t="shared" si="0"/>
        <v/>
      </c>
      <c r="I9" s="358" t="str">
        <f t="shared" si="1"/>
        <v/>
      </c>
      <c r="J9" s="359" t="str">
        <f t="shared" si="2"/>
        <v/>
      </c>
      <c r="K9" s="360" t="str">
        <f t="shared" si="3"/>
        <v/>
      </c>
      <c r="L9" s="363"/>
      <c r="M9" s="326"/>
      <c r="N9" s="357" t="str">
        <f t="shared" si="4"/>
        <v/>
      </c>
      <c r="O9" s="358" t="str">
        <f t="shared" si="5"/>
        <v/>
      </c>
      <c r="P9" s="359" t="str">
        <f t="shared" si="6"/>
        <v/>
      </c>
      <c r="Q9" s="360" t="str">
        <f t="shared" si="7"/>
        <v/>
      </c>
      <c r="R9" s="328"/>
    </row>
    <row r="10" spans="1:18" ht="14.25" x14ac:dyDescent="0.15">
      <c r="A10" s="325"/>
      <c r="B10" s="357" t="str">
        <f>IF(ISERROR(IF(③出場者一覧!C14="主将","C","")),"",IF(③出場者一覧!C14="主将","C",""))</f>
        <v/>
      </c>
      <c r="C10" s="358" t="str">
        <f>IF(ISERROR(③出場者一覧!E14),"",③出場者一覧!E14)</f>
        <v/>
      </c>
      <c r="D10" s="359" t="str">
        <f>IF(ISERROR(LEFT(VLOOKUP(IF(ISNUMBER(C10),C10,_xlfn.UNICODE(C10)-9312+1),③出場者一覧!$E$10:$F$23,2,FALSE),SEARCH("　",VLOOKUP(IF(ISNUMBER(C10),C10,_xlfn.UNICODE(C10)-9312+1),③出場者一覧!$E$10:$F$23,2,FALSE))-1)),IF(ISERROR(VLOOKUP(IF(ISNUMBER(C10),C10,_xlfn.UNICODE(C10)-9312+1),③出場者一覧!$E$10:$F$23,2,FALSE)),"",VLOOKUP(IF(ISNUMBER(C10),C10,_xlfn.UNICODE(C10)-9312+1),③出場者一覧!$E$10:$F$23,2,FALSE)),LEFT(VLOOKUP(IF(ISNUMBER(C10),C10,_xlfn.UNICODE(C10)-9312+1),③出場者一覧!$E$10:$F$23,2,FALSE),SEARCH("　",VLOOKUP(IF(ISNUMBER(C10),C10,_xlfn.UNICODE(C10)-9312+1),③出場者一覧!$E$10:$F$23,2,FALSE))-1))</f>
        <v/>
      </c>
      <c r="E10" s="360" t="str">
        <f>IF(ISERROR(MID(VLOOKUP(IF(ISNUMBER(C10),C10,_xlfn.UNICODE(C10)-9312+1),③出場者一覧!$E$10:$F$23,2,FALSE),SEARCH("　",VLOOKUP(IF(ISNUMBER(C10),C10,_xlfn.UNICODE(C10)-9312+1),③出場者一覧!$E$10:$F$23,2,FALSE))+1,10)),IF(ISERROR(VLOOKUP(IF(ISNUMBER(C10),C10,_xlfn.UNICODE(C10)-9312+1),③出場者一覧!$E$10:$F$23,2,FALSE)),"",VLOOKUP(IF(ISNUMBER(C10),C10,_xlfn.UNICODE(C10)-9312+1),③出場者一覧!$E$10:$F$23,2,FALSE)),MID(VLOOKUP(IF(ISNUMBER(C10),C10,_xlfn.UNICODE(C10)-9312+1),③出場者一覧!$E$10:$F$23,2,FALSE),SEARCH("　",VLOOKUP(IF(ISNUMBER(C10),C10,_xlfn.UNICODE(C10)-9312+1),③出場者一覧!$E$10:$F$23,2,FALSE))+1,10))</f>
        <v/>
      </c>
      <c r="F10" s="326"/>
      <c r="G10" s="329"/>
      <c r="H10" s="357" t="str">
        <f t="shared" si="0"/>
        <v/>
      </c>
      <c r="I10" s="358" t="str">
        <f t="shared" si="1"/>
        <v/>
      </c>
      <c r="J10" s="359" t="str">
        <f t="shared" si="2"/>
        <v/>
      </c>
      <c r="K10" s="360" t="str">
        <f t="shared" si="3"/>
        <v/>
      </c>
      <c r="L10" s="363"/>
      <c r="M10" s="326"/>
      <c r="N10" s="357" t="str">
        <f t="shared" si="4"/>
        <v/>
      </c>
      <c r="O10" s="358" t="str">
        <f t="shared" si="5"/>
        <v/>
      </c>
      <c r="P10" s="359" t="str">
        <f t="shared" si="6"/>
        <v/>
      </c>
      <c r="Q10" s="360" t="str">
        <f t="shared" si="7"/>
        <v/>
      </c>
      <c r="R10" s="328"/>
    </row>
    <row r="11" spans="1:18" ht="14.25" x14ac:dyDescent="0.15">
      <c r="A11" s="325"/>
      <c r="B11" s="357" t="str">
        <f>IF(ISERROR(IF(③出場者一覧!C15="主将","C","")),"",IF(③出場者一覧!C15="主将","C",""))</f>
        <v/>
      </c>
      <c r="C11" s="358" t="str">
        <f>IF(ISERROR(③出場者一覧!E15),"",③出場者一覧!E15)</f>
        <v/>
      </c>
      <c r="D11" s="359" t="str">
        <f>IF(ISERROR(LEFT(VLOOKUP(IF(ISNUMBER(C11),C11,_xlfn.UNICODE(C11)-9312+1),③出場者一覧!$E$10:$F$23,2,FALSE),SEARCH("　",VLOOKUP(IF(ISNUMBER(C11),C11,_xlfn.UNICODE(C11)-9312+1),③出場者一覧!$E$10:$F$23,2,FALSE))-1)),IF(ISERROR(VLOOKUP(IF(ISNUMBER(C11),C11,_xlfn.UNICODE(C11)-9312+1),③出場者一覧!$E$10:$F$23,2,FALSE)),"",VLOOKUP(IF(ISNUMBER(C11),C11,_xlfn.UNICODE(C11)-9312+1),③出場者一覧!$E$10:$F$23,2,FALSE)),LEFT(VLOOKUP(IF(ISNUMBER(C11),C11,_xlfn.UNICODE(C11)-9312+1),③出場者一覧!$E$10:$F$23,2,FALSE),SEARCH("　",VLOOKUP(IF(ISNUMBER(C11),C11,_xlfn.UNICODE(C11)-9312+1),③出場者一覧!$E$10:$F$23,2,FALSE))-1))</f>
        <v/>
      </c>
      <c r="E11" s="360" t="str">
        <f>IF(ISERROR(MID(VLOOKUP(IF(ISNUMBER(C11),C11,_xlfn.UNICODE(C11)-9312+1),③出場者一覧!$E$10:$F$23,2,FALSE),SEARCH("　",VLOOKUP(IF(ISNUMBER(C11),C11,_xlfn.UNICODE(C11)-9312+1),③出場者一覧!$E$10:$F$23,2,FALSE))+1,10)),IF(ISERROR(VLOOKUP(IF(ISNUMBER(C11),C11,_xlfn.UNICODE(C11)-9312+1),③出場者一覧!$E$10:$F$23,2,FALSE)),"",VLOOKUP(IF(ISNUMBER(C11),C11,_xlfn.UNICODE(C11)-9312+1),③出場者一覧!$E$10:$F$23,2,FALSE)),MID(VLOOKUP(IF(ISNUMBER(C11),C11,_xlfn.UNICODE(C11)-9312+1),③出場者一覧!$E$10:$F$23,2,FALSE),SEARCH("　",VLOOKUP(IF(ISNUMBER(C11),C11,_xlfn.UNICODE(C11)-9312+1),③出場者一覧!$E$10:$F$23,2,FALSE))+1,10))</f>
        <v/>
      </c>
      <c r="F11" s="326"/>
      <c r="G11" s="329"/>
      <c r="H11" s="357" t="str">
        <f t="shared" si="0"/>
        <v/>
      </c>
      <c r="I11" s="358" t="str">
        <f t="shared" si="1"/>
        <v/>
      </c>
      <c r="J11" s="359" t="str">
        <f t="shared" si="2"/>
        <v/>
      </c>
      <c r="K11" s="360" t="str">
        <f t="shared" si="3"/>
        <v/>
      </c>
      <c r="L11" s="363"/>
      <c r="M11" s="326"/>
      <c r="N11" s="357" t="str">
        <f t="shared" si="4"/>
        <v/>
      </c>
      <c r="O11" s="358" t="str">
        <f t="shared" si="5"/>
        <v/>
      </c>
      <c r="P11" s="359" t="str">
        <f t="shared" si="6"/>
        <v/>
      </c>
      <c r="Q11" s="360" t="str">
        <f t="shared" si="7"/>
        <v/>
      </c>
      <c r="R11" s="328"/>
    </row>
    <row r="12" spans="1:18" ht="14.25" x14ac:dyDescent="0.15">
      <c r="A12" s="325"/>
      <c r="B12" s="357" t="str">
        <f>IF(ISERROR(IF(③出場者一覧!C16="主将","C","")),"",IF(③出場者一覧!C16="主将","C",""))</f>
        <v/>
      </c>
      <c r="C12" s="358" t="str">
        <f>IF(ISERROR(③出場者一覧!E16),"",③出場者一覧!E16)</f>
        <v/>
      </c>
      <c r="D12" s="359" t="str">
        <f>IF(ISERROR(LEFT(VLOOKUP(IF(ISNUMBER(C12),C12,_xlfn.UNICODE(C12)-9312+1),③出場者一覧!$E$10:$F$23,2,FALSE),SEARCH("　",VLOOKUP(IF(ISNUMBER(C12),C12,_xlfn.UNICODE(C12)-9312+1),③出場者一覧!$E$10:$F$23,2,FALSE))-1)),IF(ISERROR(VLOOKUP(IF(ISNUMBER(C12),C12,_xlfn.UNICODE(C12)-9312+1),③出場者一覧!$E$10:$F$23,2,FALSE)),"",VLOOKUP(IF(ISNUMBER(C12),C12,_xlfn.UNICODE(C12)-9312+1),③出場者一覧!$E$10:$F$23,2,FALSE)),LEFT(VLOOKUP(IF(ISNUMBER(C12),C12,_xlfn.UNICODE(C12)-9312+1),③出場者一覧!$E$10:$F$23,2,FALSE),SEARCH("　",VLOOKUP(IF(ISNUMBER(C12),C12,_xlfn.UNICODE(C12)-9312+1),③出場者一覧!$E$10:$F$23,2,FALSE))-1))</f>
        <v/>
      </c>
      <c r="E12" s="360" t="str">
        <f>IF(ISERROR(MID(VLOOKUP(IF(ISNUMBER(C12),C12,_xlfn.UNICODE(C12)-9312+1),③出場者一覧!$E$10:$F$23,2,FALSE),SEARCH("　",VLOOKUP(IF(ISNUMBER(C12),C12,_xlfn.UNICODE(C12)-9312+1),③出場者一覧!$E$10:$F$23,2,FALSE))+1,10)),IF(ISERROR(VLOOKUP(IF(ISNUMBER(C12),C12,_xlfn.UNICODE(C12)-9312+1),③出場者一覧!$E$10:$F$23,2,FALSE)),"",VLOOKUP(IF(ISNUMBER(C12),C12,_xlfn.UNICODE(C12)-9312+1),③出場者一覧!$E$10:$F$23,2,FALSE)),MID(VLOOKUP(IF(ISNUMBER(C12),C12,_xlfn.UNICODE(C12)-9312+1),③出場者一覧!$E$10:$F$23,2,FALSE),SEARCH("　",VLOOKUP(IF(ISNUMBER(C12),C12,_xlfn.UNICODE(C12)-9312+1),③出場者一覧!$E$10:$F$23,2,FALSE))+1,10))</f>
        <v/>
      </c>
      <c r="F12" s="326"/>
      <c r="G12" s="329"/>
      <c r="H12" s="357" t="str">
        <f t="shared" si="0"/>
        <v/>
      </c>
      <c r="I12" s="358" t="str">
        <f t="shared" si="1"/>
        <v/>
      </c>
      <c r="J12" s="359" t="str">
        <f t="shared" si="2"/>
        <v/>
      </c>
      <c r="K12" s="360" t="str">
        <f t="shared" si="3"/>
        <v/>
      </c>
      <c r="L12" s="363"/>
      <c r="M12" s="326"/>
      <c r="N12" s="357" t="str">
        <f t="shared" si="4"/>
        <v/>
      </c>
      <c r="O12" s="358" t="str">
        <f t="shared" si="5"/>
        <v/>
      </c>
      <c r="P12" s="359" t="str">
        <f t="shared" si="6"/>
        <v/>
      </c>
      <c r="Q12" s="360" t="str">
        <f t="shared" si="7"/>
        <v/>
      </c>
      <c r="R12" s="328"/>
    </row>
    <row r="13" spans="1:18" ht="14.25" x14ac:dyDescent="0.15">
      <c r="A13" s="325"/>
      <c r="B13" s="357" t="str">
        <f>IF(ISERROR(IF(③出場者一覧!C17="主将","C","")),"",IF(③出場者一覧!C17="主将","C",""))</f>
        <v/>
      </c>
      <c r="C13" s="358" t="str">
        <f>IF(ISERROR(③出場者一覧!E17),"",③出場者一覧!E17)</f>
        <v/>
      </c>
      <c r="D13" s="359" t="str">
        <f>IF(ISERROR(LEFT(VLOOKUP(IF(ISNUMBER(C13),C13,_xlfn.UNICODE(C13)-9312+1),③出場者一覧!$E$10:$F$23,2,FALSE),SEARCH("　",VLOOKUP(IF(ISNUMBER(C13),C13,_xlfn.UNICODE(C13)-9312+1),③出場者一覧!$E$10:$F$23,2,FALSE))-1)),IF(ISERROR(VLOOKUP(IF(ISNUMBER(C13),C13,_xlfn.UNICODE(C13)-9312+1),③出場者一覧!$E$10:$F$23,2,FALSE)),"",VLOOKUP(IF(ISNUMBER(C13),C13,_xlfn.UNICODE(C13)-9312+1),③出場者一覧!$E$10:$F$23,2,FALSE)),LEFT(VLOOKUP(IF(ISNUMBER(C13),C13,_xlfn.UNICODE(C13)-9312+1),③出場者一覧!$E$10:$F$23,2,FALSE),SEARCH("　",VLOOKUP(IF(ISNUMBER(C13),C13,_xlfn.UNICODE(C13)-9312+1),③出場者一覧!$E$10:$F$23,2,FALSE))-1))</f>
        <v/>
      </c>
      <c r="E13" s="360" t="str">
        <f>IF(ISERROR(MID(VLOOKUP(IF(ISNUMBER(C13),C13,_xlfn.UNICODE(C13)-9312+1),③出場者一覧!$E$10:$F$23,2,FALSE),SEARCH("　",VLOOKUP(IF(ISNUMBER(C13),C13,_xlfn.UNICODE(C13)-9312+1),③出場者一覧!$E$10:$F$23,2,FALSE))+1,10)),IF(ISERROR(VLOOKUP(IF(ISNUMBER(C13),C13,_xlfn.UNICODE(C13)-9312+1),③出場者一覧!$E$10:$F$23,2,FALSE)),"",VLOOKUP(IF(ISNUMBER(C13),C13,_xlfn.UNICODE(C13)-9312+1),③出場者一覧!$E$10:$F$23,2,FALSE)),MID(VLOOKUP(IF(ISNUMBER(C13),C13,_xlfn.UNICODE(C13)-9312+1),③出場者一覧!$E$10:$F$23,2,FALSE),SEARCH("　",VLOOKUP(IF(ISNUMBER(C13),C13,_xlfn.UNICODE(C13)-9312+1),③出場者一覧!$E$10:$F$23,2,FALSE))+1,10))</f>
        <v/>
      </c>
      <c r="F13" s="326"/>
      <c r="G13" s="329"/>
      <c r="H13" s="357" t="str">
        <f t="shared" si="0"/>
        <v/>
      </c>
      <c r="I13" s="358" t="str">
        <f t="shared" si="1"/>
        <v/>
      </c>
      <c r="J13" s="359" t="str">
        <f t="shared" si="2"/>
        <v/>
      </c>
      <c r="K13" s="360" t="str">
        <f t="shared" si="3"/>
        <v/>
      </c>
      <c r="L13" s="363"/>
      <c r="M13" s="326"/>
      <c r="N13" s="357" t="str">
        <f t="shared" si="4"/>
        <v/>
      </c>
      <c r="O13" s="358" t="str">
        <f t="shared" si="5"/>
        <v/>
      </c>
      <c r="P13" s="359" t="str">
        <f t="shared" si="6"/>
        <v/>
      </c>
      <c r="Q13" s="360" t="str">
        <f t="shared" si="7"/>
        <v/>
      </c>
      <c r="R13" s="328"/>
    </row>
    <row r="14" spans="1:18" ht="14.25" x14ac:dyDescent="0.15">
      <c r="A14" s="325"/>
      <c r="B14" s="357" t="str">
        <f>IF(ISERROR(IF(③出場者一覧!C18="主将","C","")),"",IF(③出場者一覧!C18="主将","C",""))</f>
        <v/>
      </c>
      <c r="C14" s="358" t="str">
        <f>IF(ISERROR(③出場者一覧!E18),"",③出場者一覧!E18)</f>
        <v/>
      </c>
      <c r="D14" s="359" t="str">
        <f>IF(ISERROR(LEFT(VLOOKUP(IF(ISNUMBER(C14),C14,_xlfn.UNICODE(C14)-9312+1),③出場者一覧!$E$10:$F$23,2,FALSE),SEARCH("　",VLOOKUP(IF(ISNUMBER(C14),C14,_xlfn.UNICODE(C14)-9312+1),③出場者一覧!$E$10:$F$23,2,FALSE))-1)),IF(ISERROR(VLOOKUP(IF(ISNUMBER(C14),C14,_xlfn.UNICODE(C14)-9312+1),③出場者一覧!$E$10:$F$23,2,FALSE)),"",VLOOKUP(IF(ISNUMBER(C14),C14,_xlfn.UNICODE(C14)-9312+1),③出場者一覧!$E$10:$F$23,2,FALSE)),LEFT(VLOOKUP(IF(ISNUMBER(C14),C14,_xlfn.UNICODE(C14)-9312+1),③出場者一覧!$E$10:$F$23,2,FALSE),SEARCH("　",VLOOKUP(IF(ISNUMBER(C14),C14,_xlfn.UNICODE(C14)-9312+1),③出場者一覧!$E$10:$F$23,2,FALSE))-1))</f>
        <v/>
      </c>
      <c r="E14" s="360" t="str">
        <f>IF(ISERROR(MID(VLOOKUP(IF(ISNUMBER(C14),C14,_xlfn.UNICODE(C14)-9312+1),③出場者一覧!$E$10:$F$23,2,FALSE),SEARCH("　",VLOOKUP(IF(ISNUMBER(C14),C14,_xlfn.UNICODE(C14)-9312+1),③出場者一覧!$E$10:$F$23,2,FALSE))+1,10)),IF(ISERROR(VLOOKUP(IF(ISNUMBER(C14),C14,_xlfn.UNICODE(C14)-9312+1),③出場者一覧!$E$10:$F$23,2,FALSE)),"",VLOOKUP(IF(ISNUMBER(C14),C14,_xlfn.UNICODE(C14)-9312+1),③出場者一覧!$E$10:$F$23,2,FALSE)),MID(VLOOKUP(IF(ISNUMBER(C14),C14,_xlfn.UNICODE(C14)-9312+1),③出場者一覧!$E$10:$F$23,2,FALSE),SEARCH("　",VLOOKUP(IF(ISNUMBER(C14),C14,_xlfn.UNICODE(C14)-9312+1),③出場者一覧!$E$10:$F$23,2,FALSE))+1,10))</f>
        <v/>
      </c>
      <c r="F14" s="326"/>
      <c r="G14" s="329"/>
      <c r="H14" s="357" t="str">
        <f t="shared" si="0"/>
        <v/>
      </c>
      <c r="I14" s="358" t="str">
        <f t="shared" si="1"/>
        <v/>
      </c>
      <c r="J14" s="359" t="str">
        <f t="shared" si="2"/>
        <v/>
      </c>
      <c r="K14" s="360" t="str">
        <f t="shared" si="3"/>
        <v/>
      </c>
      <c r="L14" s="363"/>
      <c r="M14" s="326"/>
      <c r="N14" s="357" t="str">
        <f t="shared" si="4"/>
        <v/>
      </c>
      <c r="O14" s="358" t="str">
        <f t="shared" si="5"/>
        <v/>
      </c>
      <c r="P14" s="359" t="str">
        <f t="shared" si="6"/>
        <v/>
      </c>
      <c r="Q14" s="360" t="str">
        <f t="shared" si="7"/>
        <v/>
      </c>
      <c r="R14" s="328"/>
    </row>
    <row r="15" spans="1:18" ht="14.25" x14ac:dyDescent="0.15">
      <c r="A15" s="325"/>
      <c r="B15" s="357" t="str">
        <f>IF(ISERROR(IF(③出場者一覧!C19="主将","C","")),"",IF(③出場者一覧!C19="主将","C",""))</f>
        <v/>
      </c>
      <c r="C15" s="358" t="str">
        <f>IF(ISERROR(③出場者一覧!E19),"",③出場者一覧!E19)</f>
        <v/>
      </c>
      <c r="D15" s="359" t="str">
        <f>IF(ISERROR(LEFT(VLOOKUP(IF(ISNUMBER(C15),C15,_xlfn.UNICODE(C15)-9312+1),③出場者一覧!$E$10:$F$23,2,FALSE),SEARCH("　",VLOOKUP(IF(ISNUMBER(C15),C15,_xlfn.UNICODE(C15)-9312+1),③出場者一覧!$E$10:$F$23,2,FALSE))-1)),IF(ISERROR(VLOOKUP(IF(ISNUMBER(C15),C15,_xlfn.UNICODE(C15)-9312+1),③出場者一覧!$E$10:$F$23,2,FALSE)),"",VLOOKUP(IF(ISNUMBER(C15),C15,_xlfn.UNICODE(C15)-9312+1),③出場者一覧!$E$10:$F$23,2,FALSE)),LEFT(VLOOKUP(IF(ISNUMBER(C15),C15,_xlfn.UNICODE(C15)-9312+1),③出場者一覧!$E$10:$F$23,2,FALSE),SEARCH("　",VLOOKUP(IF(ISNUMBER(C15),C15,_xlfn.UNICODE(C15)-9312+1),③出場者一覧!$E$10:$F$23,2,FALSE))-1))</f>
        <v/>
      </c>
      <c r="E15" s="360" t="str">
        <f>IF(ISERROR(MID(VLOOKUP(IF(ISNUMBER(C15),C15,_xlfn.UNICODE(C15)-9312+1),③出場者一覧!$E$10:$F$23,2,FALSE),SEARCH("　",VLOOKUP(IF(ISNUMBER(C15),C15,_xlfn.UNICODE(C15)-9312+1),③出場者一覧!$E$10:$F$23,2,FALSE))+1,10)),IF(ISERROR(VLOOKUP(IF(ISNUMBER(C15),C15,_xlfn.UNICODE(C15)-9312+1),③出場者一覧!$E$10:$F$23,2,FALSE)),"",VLOOKUP(IF(ISNUMBER(C15),C15,_xlfn.UNICODE(C15)-9312+1),③出場者一覧!$E$10:$F$23,2,FALSE)),MID(VLOOKUP(IF(ISNUMBER(C15),C15,_xlfn.UNICODE(C15)-9312+1),③出場者一覧!$E$10:$F$23,2,FALSE),SEARCH("　",VLOOKUP(IF(ISNUMBER(C15),C15,_xlfn.UNICODE(C15)-9312+1),③出場者一覧!$E$10:$F$23,2,FALSE))+1,10))</f>
        <v/>
      </c>
      <c r="F15" s="326"/>
      <c r="G15" s="329"/>
      <c r="H15" s="357" t="str">
        <f t="shared" si="0"/>
        <v/>
      </c>
      <c r="I15" s="358" t="str">
        <f t="shared" si="1"/>
        <v/>
      </c>
      <c r="J15" s="359" t="str">
        <f t="shared" si="2"/>
        <v/>
      </c>
      <c r="K15" s="360" t="str">
        <f t="shared" si="3"/>
        <v/>
      </c>
      <c r="L15" s="363"/>
      <c r="M15" s="326"/>
      <c r="N15" s="357" t="str">
        <f t="shared" si="4"/>
        <v/>
      </c>
      <c r="O15" s="358" t="str">
        <f t="shared" si="5"/>
        <v/>
      </c>
      <c r="P15" s="359" t="str">
        <f t="shared" si="6"/>
        <v/>
      </c>
      <c r="Q15" s="360" t="str">
        <f t="shared" si="7"/>
        <v/>
      </c>
      <c r="R15" s="328"/>
    </row>
    <row r="16" spans="1:18" ht="14.25" x14ac:dyDescent="0.15">
      <c r="A16" s="325"/>
      <c r="B16" s="357" t="str">
        <f>IF(ISERROR(IF(③出場者一覧!C20="主将","C","")),"",IF(③出場者一覧!C20="主将","C",""))</f>
        <v/>
      </c>
      <c r="C16" s="358" t="str">
        <f>IF(ISERROR(③出場者一覧!E20),"",③出場者一覧!E20)</f>
        <v/>
      </c>
      <c r="D16" s="359" t="str">
        <f>IF(ISERROR(LEFT(VLOOKUP(IF(ISNUMBER(C16),C16,_xlfn.UNICODE(C16)-9312+1),③出場者一覧!$E$10:$F$23,2,FALSE),SEARCH("　",VLOOKUP(IF(ISNUMBER(C16),C16,_xlfn.UNICODE(C16)-9312+1),③出場者一覧!$E$10:$F$23,2,FALSE))-1)),IF(ISERROR(VLOOKUP(IF(ISNUMBER(C16),C16,_xlfn.UNICODE(C16)-9312+1),③出場者一覧!$E$10:$F$23,2,FALSE)),"",VLOOKUP(IF(ISNUMBER(C16),C16,_xlfn.UNICODE(C16)-9312+1),③出場者一覧!$E$10:$F$23,2,FALSE)),LEFT(VLOOKUP(IF(ISNUMBER(C16),C16,_xlfn.UNICODE(C16)-9312+1),③出場者一覧!$E$10:$F$23,2,FALSE),SEARCH("　",VLOOKUP(IF(ISNUMBER(C16),C16,_xlfn.UNICODE(C16)-9312+1),③出場者一覧!$E$10:$F$23,2,FALSE))-1))</f>
        <v/>
      </c>
      <c r="E16" s="360" t="str">
        <f>IF(ISERROR(MID(VLOOKUP(IF(ISNUMBER(C16),C16,_xlfn.UNICODE(C16)-9312+1),③出場者一覧!$E$10:$F$23,2,FALSE),SEARCH("　",VLOOKUP(IF(ISNUMBER(C16),C16,_xlfn.UNICODE(C16)-9312+1),③出場者一覧!$E$10:$F$23,2,FALSE))+1,10)),IF(ISERROR(VLOOKUP(IF(ISNUMBER(C16),C16,_xlfn.UNICODE(C16)-9312+1),③出場者一覧!$E$10:$F$23,2,FALSE)),"",VLOOKUP(IF(ISNUMBER(C16),C16,_xlfn.UNICODE(C16)-9312+1),③出場者一覧!$E$10:$F$23,2,FALSE)),MID(VLOOKUP(IF(ISNUMBER(C16),C16,_xlfn.UNICODE(C16)-9312+1),③出場者一覧!$E$10:$F$23,2,FALSE),SEARCH("　",VLOOKUP(IF(ISNUMBER(C16),C16,_xlfn.UNICODE(C16)-9312+1),③出場者一覧!$E$10:$F$23,2,FALSE))+1,10))</f>
        <v/>
      </c>
      <c r="F16" s="326"/>
      <c r="G16" s="329"/>
      <c r="H16" s="357" t="str">
        <f t="shared" si="0"/>
        <v/>
      </c>
      <c r="I16" s="358" t="str">
        <f t="shared" si="1"/>
        <v/>
      </c>
      <c r="J16" s="359" t="str">
        <f t="shared" si="2"/>
        <v/>
      </c>
      <c r="K16" s="360" t="str">
        <f t="shared" si="3"/>
        <v/>
      </c>
      <c r="L16" s="363"/>
      <c r="M16" s="326"/>
      <c r="N16" s="357" t="str">
        <f t="shared" si="4"/>
        <v/>
      </c>
      <c r="O16" s="358" t="str">
        <f t="shared" si="5"/>
        <v/>
      </c>
      <c r="P16" s="359" t="str">
        <f t="shared" si="6"/>
        <v/>
      </c>
      <c r="Q16" s="360" t="str">
        <f t="shared" si="7"/>
        <v/>
      </c>
      <c r="R16" s="328"/>
    </row>
    <row r="17" spans="1:18" ht="14.25" x14ac:dyDescent="0.15">
      <c r="A17" s="325"/>
      <c r="B17" s="357" t="str">
        <f>IF(ISERROR(IF(③出場者一覧!C21="主将","C","")),"",IF(③出場者一覧!C21="主将","C",""))</f>
        <v/>
      </c>
      <c r="C17" s="358" t="str">
        <f>IF(ISERROR(③出場者一覧!E21),"",③出場者一覧!E21)</f>
        <v/>
      </c>
      <c r="D17" s="359" t="str">
        <f>IF(ISERROR(LEFT(VLOOKUP(IF(ISNUMBER(C17),C17,_xlfn.UNICODE(C17)-9312+1),③出場者一覧!$E$10:$F$23,2,FALSE),SEARCH("　",VLOOKUP(IF(ISNUMBER(C17),C17,_xlfn.UNICODE(C17)-9312+1),③出場者一覧!$E$10:$F$23,2,FALSE))-1)),IF(ISERROR(VLOOKUP(IF(ISNUMBER(C17),C17,_xlfn.UNICODE(C17)-9312+1),③出場者一覧!$E$10:$F$23,2,FALSE)),"",VLOOKUP(IF(ISNUMBER(C17),C17,_xlfn.UNICODE(C17)-9312+1),③出場者一覧!$E$10:$F$23,2,FALSE)),LEFT(VLOOKUP(IF(ISNUMBER(C17),C17,_xlfn.UNICODE(C17)-9312+1),③出場者一覧!$E$10:$F$23,2,FALSE),SEARCH("　",VLOOKUP(IF(ISNUMBER(C17),C17,_xlfn.UNICODE(C17)-9312+1),③出場者一覧!$E$10:$F$23,2,FALSE))-1))</f>
        <v/>
      </c>
      <c r="E17" s="360" t="str">
        <f>IF(ISERROR(MID(VLOOKUP(IF(ISNUMBER(C17),C17,_xlfn.UNICODE(C17)-9312+1),③出場者一覧!$E$10:$F$23,2,FALSE),SEARCH("　",VLOOKUP(IF(ISNUMBER(C17),C17,_xlfn.UNICODE(C17)-9312+1),③出場者一覧!$E$10:$F$23,2,FALSE))+1,10)),IF(ISERROR(VLOOKUP(IF(ISNUMBER(C17),C17,_xlfn.UNICODE(C17)-9312+1),③出場者一覧!$E$10:$F$23,2,FALSE)),"",VLOOKUP(IF(ISNUMBER(C17),C17,_xlfn.UNICODE(C17)-9312+1),③出場者一覧!$E$10:$F$23,2,FALSE)),MID(VLOOKUP(IF(ISNUMBER(C17),C17,_xlfn.UNICODE(C17)-9312+1),③出場者一覧!$E$10:$F$23,2,FALSE),SEARCH("　",VLOOKUP(IF(ISNUMBER(C17),C17,_xlfn.UNICODE(C17)-9312+1),③出場者一覧!$E$10:$F$23,2,FALSE))+1,10))</f>
        <v/>
      </c>
      <c r="F17" s="326"/>
      <c r="G17" s="329"/>
      <c r="H17" s="357" t="str">
        <f t="shared" si="0"/>
        <v/>
      </c>
      <c r="I17" s="358" t="str">
        <f t="shared" si="1"/>
        <v/>
      </c>
      <c r="J17" s="359" t="str">
        <f t="shared" si="2"/>
        <v/>
      </c>
      <c r="K17" s="360" t="str">
        <f t="shared" si="3"/>
        <v/>
      </c>
      <c r="L17" s="363"/>
      <c r="M17" s="326"/>
      <c r="N17" s="357" t="str">
        <f t="shared" si="4"/>
        <v/>
      </c>
      <c r="O17" s="358" t="str">
        <f t="shared" si="5"/>
        <v/>
      </c>
      <c r="P17" s="359" t="str">
        <f t="shared" si="6"/>
        <v/>
      </c>
      <c r="Q17" s="360" t="str">
        <f t="shared" si="7"/>
        <v/>
      </c>
      <c r="R17" s="328"/>
    </row>
    <row r="18" spans="1:18" ht="14.25" x14ac:dyDescent="0.15">
      <c r="A18" s="325"/>
      <c r="B18" s="357" t="str">
        <f>IF(ISERROR(IF(③出場者一覧!C22="主将","C","")),"",IF(③出場者一覧!C22="主将","C",""))</f>
        <v/>
      </c>
      <c r="C18" s="358" t="str">
        <f>IF(ISERROR(③出場者一覧!E22),"",③出場者一覧!E22)</f>
        <v/>
      </c>
      <c r="D18" s="359" t="str">
        <f>IF(ISERROR(LEFT(VLOOKUP(IF(ISNUMBER(C18),C18,_xlfn.UNICODE(C18)-9312+1),③出場者一覧!$E$10:$F$23,2,FALSE),SEARCH("　",VLOOKUP(IF(ISNUMBER(C18),C18,_xlfn.UNICODE(C18)-9312+1),③出場者一覧!$E$10:$F$23,2,FALSE))-1)),IF(ISERROR(VLOOKUP(IF(ISNUMBER(C18),C18,_xlfn.UNICODE(C18)-9312+1),③出場者一覧!$E$10:$F$23,2,FALSE)),"",VLOOKUP(IF(ISNUMBER(C18),C18,_xlfn.UNICODE(C18)-9312+1),③出場者一覧!$E$10:$F$23,2,FALSE)),LEFT(VLOOKUP(IF(ISNUMBER(C18),C18,_xlfn.UNICODE(C18)-9312+1),③出場者一覧!$E$10:$F$23,2,FALSE),SEARCH("　",VLOOKUP(IF(ISNUMBER(C18),C18,_xlfn.UNICODE(C18)-9312+1),③出場者一覧!$E$10:$F$23,2,FALSE))-1))</f>
        <v/>
      </c>
      <c r="E18" s="360" t="str">
        <f>IF(ISERROR(MID(VLOOKUP(IF(ISNUMBER(C18),C18,_xlfn.UNICODE(C18)-9312+1),③出場者一覧!$E$10:$F$23,2,FALSE),SEARCH("　",VLOOKUP(IF(ISNUMBER(C18),C18,_xlfn.UNICODE(C18)-9312+1),③出場者一覧!$E$10:$F$23,2,FALSE))+1,10)),IF(ISERROR(VLOOKUP(IF(ISNUMBER(C18),C18,_xlfn.UNICODE(C18)-9312+1),③出場者一覧!$E$10:$F$23,2,FALSE)),"",VLOOKUP(IF(ISNUMBER(C18),C18,_xlfn.UNICODE(C18)-9312+1),③出場者一覧!$E$10:$F$23,2,FALSE)),MID(VLOOKUP(IF(ISNUMBER(C18),C18,_xlfn.UNICODE(C18)-9312+1),③出場者一覧!$E$10:$F$23,2,FALSE),SEARCH("　",VLOOKUP(IF(ISNUMBER(C18),C18,_xlfn.UNICODE(C18)-9312+1),③出場者一覧!$E$10:$F$23,2,FALSE))+1,10))</f>
        <v/>
      </c>
      <c r="F18" s="326"/>
      <c r="G18" s="329"/>
      <c r="H18" s="357" t="str">
        <f t="shared" si="0"/>
        <v/>
      </c>
      <c r="I18" s="358" t="str">
        <f t="shared" si="1"/>
        <v/>
      </c>
      <c r="J18" s="359" t="str">
        <f t="shared" si="2"/>
        <v/>
      </c>
      <c r="K18" s="360" t="str">
        <f t="shared" si="3"/>
        <v/>
      </c>
      <c r="L18" s="363"/>
      <c r="M18" s="326"/>
      <c r="N18" s="357" t="str">
        <f t="shared" si="4"/>
        <v/>
      </c>
      <c r="O18" s="358" t="str">
        <f t="shared" si="5"/>
        <v/>
      </c>
      <c r="P18" s="359" t="str">
        <f t="shared" si="6"/>
        <v/>
      </c>
      <c r="Q18" s="360" t="str">
        <f t="shared" si="7"/>
        <v/>
      </c>
      <c r="R18" s="328"/>
    </row>
    <row r="19" spans="1:18" ht="14.25" x14ac:dyDescent="0.15">
      <c r="A19" s="325"/>
      <c r="B19" s="357" t="str">
        <f>IF(ISERROR(IF(③出場者一覧!C23="主将","C","")),"",IF(③出場者一覧!C23="主将","C",""))</f>
        <v/>
      </c>
      <c r="C19" s="358" t="str">
        <f>IF(ISERROR(③出場者一覧!E23),"",③出場者一覧!E23)</f>
        <v/>
      </c>
      <c r="D19" s="359" t="str">
        <f>IF(ISERROR(LEFT(VLOOKUP(IF(ISNUMBER(C19),C19,_xlfn.UNICODE(C19)-9312+1),③出場者一覧!$E$10:$F$23,2,FALSE),SEARCH("　",VLOOKUP(IF(ISNUMBER(C19),C19,_xlfn.UNICODE(C19)-9312+1),③出場者一覧!$E$10:$F$23,2,FALSE))-1)),IF(ISERROR(VLOOKUP(IF(ISNUMBER(C19),C19,_xlfn.UNICODE(C19)-9312+1),③出場者一覧!$E$10:$F$23,2,FALSE)),"",VLOOKUP(IF(ISNUMBER(C19),C19,_xlfn.UNICODE(C19)-9312+1),③出場者一覧!$E$10:$F$23,2,FALSE)),LEFT(VLOOKUP(IF(ISNUMBER(C19),C19,_xlfn.UNICODE(C19)-9312+1),③出場者一覧!$E$10:$F$23,2,FALSE),SEARCH("　",VLOOKUP(IF(ISNUMBER(C19),C19,_xlfn.UNICODE(C19)-9312+1),③出場者一覧!$E$10:$F$23,2,FALSE))-1))</f>
        <v/>
      </c>
      <c r="E19" s="360" t="str">
        <f>IF(ISERROR(MID(VLOOKUP(IF(ISNUMBER(C19),C19,_xlfn.UNICODE(C19)-9312+1),③出場者一覧!$E$10:$F$23,2,FALSE),SEARCH("　",VLOOKUP(IF(ISNUMBER(C19),C19,_xlfn.UNICODE(C19)-9312+1),③出場者一覧!$E$10:$F$23,2,FALSE))+1,10)),IF(ISERROR(VLOOKUP(IF(ISNUMBER(C19),C19,_xlfn.UNICODE(C19)-9312+1),③出場者一覧!$E$10:$F$23,2,FALSE)),"",VLOOKUP(IF(ISNUMBER(C19),C19,_xlfn.UNICODE(C19)-9312+1),③出場者一覧!$E$10:$F$23,2,FALSE)),MID(VLOOKUP(IF(ISNUMBER(C19),C19,_xlfn.UNICODE(C19)-9312+1),③出場者一覧!$E$10:$F$23,2,FALSE),SEARCH("　",VLOOKUP(IF(ISNUMBER(C19),C19,_xlfn.UNICODE(C19)-9312+1),③出場者一覧!$E$10:$F$23,2,FALSE))+1,10))</f>
        <v/>
      </c>
      <c r="F19" s="326"/>
      <c r="G19" s="329"/>
      <c r="H19" s="357" t="str">
        <f t="shared" si="0"/>
        <v/>
      </c>
      <c r="I19" s="358" t="str">
        <f t="shared" si="1"/>
        <v/>
      </c>
      <c r="J19" s="359" t="str">
        <f t="shared" si="2"/>
        <v/>
      </c>
      <c r="K19" s="360" t="str">
        <f t="shared" si="3"/>
        <v/>
      </c>
      <c r="L19" s="363"/>
      <c r="M19" s="326"/>
      <c r="N19" s="357" t="str">
        <f t="shared" si="4"/>
        <v/>
      </c>
      <c r="O19" s="358" t="str">
        <f t="shared" si="5"/>
        <v/>
      </c>
      <c r="P19" s="359" t="str">
        <f t="shared" si="6"/>
        <v/>
      </c>
      <c r="Q19" s="360" t="str">
        <f t="shared" si="7"/>
        <v/>
      </c>
      <c r="R19" s="328"/>
    </row>
    <row r="20" spans="1:18" ht="14.25" x14ac:dyDescent="0.15">
      <c r="A20" s="325"/>
      <c r="B20" s="1067" t="s">
        <v>583</v>
      </c>
      <c r="C20" s="1068"/>
      <c r="D20" s="1069"/>
      <c r="E20" s="1070"/>
      <c r="F20" s="330"/>
      <c r="G20" s="326"/>
      <c r="H20" s="1071" t="s">
        <v>583</v>
      </c>
      <c r="I20" s="1071"/>
      <c r="J20" s="1072"/>
      <c r="K20" s="1072"/>
      <c r="L20" s="363"/>
      <c r="M20" s="326"/>
      <c r="N20" s="1071" t="s">
        <v>583</v>
      </c>
      <c r="O20" s="1071"/>
      <c r="P20" s="1072"/>
      <c r="Q20" s="1072"/>
      <c r="R20" s="328"/>
    </row>
    <row r="21" spans="1:18" ht="14.25" x14ac:dyDescent="0.15">
      <c r="A21" s="325"/>
      <c r="B21" s="315"/>
      <c r="C21" s="358" t="str">
        <f>IF(ISERROR(VLOOKUP("リベロ",③出場者一覧!$D$10:$E$23,2,FALSE)),"",VLOOKUP("リベロ",③出場者一覧!$D$10:$E$23,2,FALSE))</f>
        <v/>
      </c>
      <c r="D21" s="359" t="str">
        <f>IF(ISERROR(LEFT(VLOOKUP(C21,③出場者一覧!$E$10:$F$23,2,FALSE),SEARCH("　",VLOOKUP(C21,③出場者一覧!$E$10:$F$23,2,FALSE))-1)),"",LEFT(VLOOKUP(C21,③出場者一覧!$E$10:$F$23,2,FALSE),SEARCH("　",VLOOKUP(C21,③出場者一覧!$E$10:$F$23,2,FALSE))-1))</f>
        <v/>
      </c>
      <c r="E21" s="360" t="str">
        <f>IF(ISERROR(MID(VLOOKUP(C21,③出場者一覧!$E$10:$F$23,2,FALSE),SEARCH("　",VLOOKUP(C21,③出場者一覧!$E$10:$F$23,2,FALSE))+1,10)),"",MID(VLOOKUP(C21,③出場者一覧!$E$10:$F$23,2,FALSE),SEARCH("　",VLOOKUP(C21,③出場者一覧!$E$10:$F$23,2,FALSE))+1,10))</f>
        <v/>
      </c>
      <c r="F21" s="330"/>
      <c r="G21" s="326"/>
      <c r="H21" s="331"/>
      <c r="I21" s="358" t="str">
        <f t="shared" ref="I21:K22" si="8">C21</f>
        <v/>
      </c>
      <c r="J21" s="359" t="str">
        <f t="shared" si="8"/>
        <v/>
      </c>
      <c r="K21" s="360" t="str">
        <f t="shared" si="8"/>
        <v/>
      </c>
      <c r="L21" s="363"/>
      <c r="M21" s="326"/>
      <c r="N21" s="315"/>
      <c r="O21" s="358" t="str">
        <f t="shared" ref="O21:Q22" si="9">C21</f>
        <v/>
      </c>
      <c r="P21" s="359" t="str">
        <f t="shared" si="9"/>
        <v/>
      </c>
      <c r="Q21" s="360" t="str">
        <f t="shared" si="9"/>
        <v/>
      </c>
      <c r="R21" s="328"/>
    </row>
    <row r="22" spans="1:18" ht="14.25" x14ac:dyDescent="0.15">
      <c r="A22" s="325"/>
      <c r="B22" s="332"/>
      <c r="C22" s="361" t="str">
        <f ca="1">IF(ISERROR(VLOOKUP("リベロ",INDIRECT("③出場者一覧!$D$"&amp;TEXT(MATCH(C21,③出場者一覧!$E$1:$E$23,0)+1,0)&amp;":$E$23"),2,FALSE)),"",IF(C21&gt;=③出場者一覧!$E$23,"",VLOOKUP("リベロ",INDIRECT("③出場者一覧!$D$"&amp;TEXT(MATCH(C21,③出場者一覧!$E$1:$E$23,0)+1,0)&amp;":$E$23"),2,FALSE)))</f>
        <v/>
      </c>
      <c r="D22" s="359" t="str">
        <f ca="1">IF(ISERROR(LEFT(VLOOKUP(C22,③出場者一覧!$E$10:$F$23,2,FALSE),SEARCH("　",VLOOKUP(C22,③出場者一覧!$E$10:$F$23,2,FALSE))-1)),"",LEFT(VLOOKUP(C22,③出場者一覧!$E$10:$F$23,2,FALSE),SEARCH("　",VLOOKUP(C22,③出場者一覧!$E$10:$F$23,2,FALSE))-1))</f>
        <v/>
      </c>
      <c r="E22" s="360" t="str">
        <f ca="1">IF(ISERROR(MID(VLOOKUP(C22,③出場者一覧!$E$10:$F$23,2,FALSE),SEARCH("　",VLOOKUP(C22,③出場者一覧!$E$10:$F$23,2,FALSE))+1,10)),"",MID(VLOOKUP(C22,③出場者一覧!$E$10:$F$23,2,FALSE),SEARCH("　",VLOOKUP(C22,③出場者一覧!$E$10:$F$23,2,FALSE))+1,10))</f>
        <v/>
      </c>
      <c r="F22" s="326"/>
      <c r="G22" s="329"/>
      <c r="H22" s="333"/>
      <c r="I22" s="361" t="str">
        <f t="shared" ca="1" si="8"/>
        <v/>
      </c>
      <c r="J22" s="359" t="str">
        <f t="shared" ca="1" si="8"/>
        <v/>
      </c>
      <c r="K22" s="360" t="str">
        <f t="shared" ca="1" si="8"/>
        <v/>
      </c>
      <c r="L22" s="363"/>
      <c r="M22" s="326"/>
      <c r="N22" s="332"/>
      <c r="O22" s="361" t="str">
        <f t="shared" ca="1" si="9"/>
        <v/>
      </c>
      <c r="P22" s="359" t="str">
        <f t="shared" ca="1" si="9"/>
        <v/>
      </c>
      <c r="Q22" s="360" t="str">
        <f t="shared" ca="1" si="9"/>
        <v/>
      </c>
      <c r="R22" s="328"/>
    </row>
    <row r="23" spans="1:18" ht="11.25" customHeight="1" x14ac:dyDescent="0.15">
      <c r="A23" s="325"/>
      <c r="B23" s="326"/>
      <c r="C23" s="326"/>
      <c r="D23" s="326"/>
      <c r="E23" s="326"/>
      <c r="F23" s="326"/>
      <c r="G23" s="329"/>
      <c r="H23" s="326"/>
      <c r="I23" s="326"/>
      <c r="J23" s="326"/>
      <c r="K23" s="326"/>
      <c r="L23" s="363"/>
      <c r="M23" s="326"/>
      <c r="N23" s="326"/>
      <c r="O23" s="326"/>
      <c r="P23" s="326"/>
      <c r="Q23" s="326"/>
      <c r="R23" s="328"/>
    </row>
    <row r="24" spans="1:18" ht="14.25" x14ac:dyDescent="0.15">
      <c r="A24" s="325"/>
      <c r="B24" s="317" t="s">
        <v>584</v>
      </c>
      <c r="C24" s="317"/>
      <c r="D24" s="317"/>
      <c r="E24" s="317"/>
      <c r="F24" s="326"/>
      <c r="G24" s="329"/>
      <c r="H24" s="317" t="s">
        <v>584</v>
      </c>
      <c r="I24" s="317"/>
      <c r="J24" s="317"/>
      <c r="K24" s="317"/>
      <c r="L24" s="363"/>
      <c r="M24" s="326"/>
      <c r="N24" s="317" t="s">
        <v>584</v>
      </c>
      <c r="O24" s="317"/>
      <c r="P24" s="317"/>
      <c r="Q24" s="317"/>
      <c r="R24" s="328"/>
    </row>
    <row r="25" spans="1:18" ht="14.25" x14ac:dyDescent="0.15">
      <c r="A25" s="325"/>
      <c r="B25" s="334"/>
      <c r="C25" s="334"/>
      <c r="D25" s="335"/>
      <c r="E25" s="334"/>
      <c r="F25" s="326"/>
      <c r="G25" s="329"/>
      <c r="H25" s="334"/>
      <c r="I25" s="334"/>
      <c r="J25" s="335"/>
      <c r="K25" s="334"/>
      <c r="L25" s="363"/>
      <c r="M25" s="326"/>
      <c r="N25" s="334"/>
      <c r="O25" s="334"/>
      <c r="P25" s="335"/>
      <c r="Q25" s="334"/>
      <c r="R25" s="328"/>
    </row>
    <row r="26" spans="1:18" ht="14.25" x14ac:dyDescent="0.15">
      <c r="A26" s="325"/>
      <c r="B26" s="317" t="s">
        <v>585</v>
      </c>
      <c r="C26" s="317"/>
      <c r="D26" s="317"/>
      <c r="E26" s="317"/>
      <c r="F26" s="336"/>
      <c r="G26" s="326"/>
      <c r="H26" s="317" t="s">
        <v>585</v>
      </c>
      <c r="I26" s="317"/>
      <c r="J26" s="317"/>
      <c r="K26" s="317"/>
      <c r="L26" s="363"/>
      <c r="M26" s="326"/>
      <c r="N26" s="317" t="s">
        <v>585</v>
      </c>
      <c r="O26" s="317"/>
      <c r="P26" s="317"/>
      <c r="Q26" s="317"/>
      <c r="R26" s="328"/>
    </row>
    <row r="27" spans="1:18" ht="14.25" x14ac:dyDescent="0.15">
      <c r="A27" s="325"/>
      <c r="B27" s="334"/>
      <c r="C27" s="334"/>
      <c r="D27" s="335"/>
      <c r="E27" s="334"/>
      <c r="F27" s="336"/>
      <c r="G27" s="326"/>
      <c r="H27" s="334"/>
      <c r="I27" s="334"/>
      <c r="J27" s="335"/>
      <c r="K27" s="334"/>
      <c r="L27" s="363"/>
      <c r="M27" s="326"/>
      <c r="N27" s="334"/>
      <c r="O27" s="334"/>
      <c r="P27" s="335"/>
      <c r="Q27" s="334"/>
      <c r="R27" s="328"/>
    </row>
    <row r="28" spans="1:18" ht="14.25" x14ac:dyDescent="0.15">
      <c r="A28" s="325"/>
      <c r="B28" s="317"/>
      <c r="C28" s="317"/>
      <c r="D28" s="337"/>
      <c r="E28" s="317"/>
      <c r="F28" s="336"/>
      <c r="G28" s="326"/>
      <c r="H28" s="317"/>
      <c r="I28" s="317"/>
      <c r="J28" s="337"/>
      <c r="K28" s="317"/>
      <c r="L28" s="363"/>
      <c r="M28" s="326"/>
      <c r="N28" s="317"/>
      <c r="O28" s="317"/>
      <c r="P28" s="337"/>
      <c r="Q28" s="317"/>
      <c r="R28" s="328"/>
    </row>
    <row r="29" spans="1:18" x14ac:dyDescent="0.15">
      <c r="A29" s="325"/>
      <c r="B29" s="326"/>
      <c r="C29" s="326"/>
      <c r="D29" s="338"/>
      <c r="E29" s="326"/>
      <c r="F29" s="336"/>
      <c r="G29" s="326"/>
      <c r="H29" s="326"/>
      <c r="I29" s="326"/>
      <c r="J29" s="338"/>
      <c r="K29" s="326"/>
      <c r="L29" s="363"/>
      <c r="M29" s="326"/>
      <c r="N29" s="326"/>
      <c r="O29" s="326"/>
      <c r="P29" s="338"/>
      <c r="Q29" s="326"/>
      <c r="R29" s="328"/>
    </row>
    <row r="30" spans="1:18" x14ac:dyDescent="0.15">
      <c r="A30" s="325"/>
      <c r="B30" s="339"/>
      <c r="C30" s="339"/>
      <c r="D30" s="339"/>
      <c r="E30" s="339"/>
      <c r="F30" s="340"/>
      <c r="G30" s="339"/>
      <c r="H30" s="326"/>
      <c r="I30" s="326"/>
      <c r="J30" s="326"/>
      <c r="K30" s="339"/>
      <c r="L30" s="363"/>
      <c r="M30" s="339"/>
      <c r="N30" s="339"/>
      <c r="O30" s="339"/>
      <c r="P30" s="339"/>
      <c r="Q30" s="339"/>
      <c r="R30" s="328"/>
    </row>
    <row r="31" spans="1:18" ht="11.25" customHeight="1" x14ac:dyDescent="0.15">
      <c r="A31" s="325"/>
      <c r="B31" s="326"/>
      <c r="C31" s="326"/>
      <c r="D31" s="326"/>
      <c r="E31" s="326"/>
      <c r="F31" s="326"/>
      <c r="G31" s="341"/>
      <c r="H31" s="342"/>
      <c r="I31" s="342"/>
      <c r="J31" s="342"/>
      <c r="K31" s="326"/>
      <c r="L31" s="364"/>
      <c r="M31" s="326"/>
      <c r="N31" s="326"/>
      <c r="O31" s="326"/>
      <c r="P31" s="326"/>
      <c r="Q31" s="326"/>
      <c r="R31" s="343"/>
    </row>
    <row r="32" spans="1:18" ht="14.25" x14ac:dyDescent="0.15">
      <c r="A32" s="325"/>
      <c r="B32" s="1062" t="s">
        <v>582</v>
      </c>
      <c r="C32" s="1062"/>
      <c r="D32" s="1062"/>
      <c r="E32" s="1062"/>
      <c r="F32" s="326"/>
      <c r="G32" s="327"/>
      <c r="H32" s="1062" t="s">
        <v>582</v>
      </c>
      <c r="I32" s="1062"/>
      <c r="J32" s="1062"/>
      <c r="K32" s="1062"/>
      <c r="L32" s="363"/>
      <c r="M32" s="326"/>
      <c r="N32" s="1062" t="s">
        <v>582</v>
      </c>
      <c r="O32" s="1062"/>
      <c r="P32" s="1062"/>
      <c r="Q32" s="1062"/>
      <c r="R32" s="328"/>
    </row>
    <row r="33" spans="1:18" ht="14.25" x14ac:dyDescent="0.15">
      <c r="A33" s="325"/>
      <c r="B33" s="1063" t="str">
        <f>③出場者一覧!D3</f>
        <v/>
      </c>
      <c r="C33" s="1064"/>
      <c r="D33" s="1064"/>
      <c r="E33" s="1064"/>
      <c r="F33" s="330"/>
      <c r="G33" s="326"/>
      <c r="H33" s="1063" t="str">
        <f>③出場者一覧!D3</f>
        <v/>
      </c>
      <c r="I33" s="1064"/>
      <c r="J33" s="1064"/>
      <c r="K33" s="1064"/>
      <c r="L33" s="363"/>
      <c r="M33" s="326"/>
      <c r="N33" s="1063" t="str">
        <f>③出場者一覧!D3</f>
        <v/>
      </c>
      <c r="O33" s="1064"/>
      <c r="P33" s="1064"/>
      <c r="Q33" s="1064"/>
      <c r="R33" s="328"/>
    </row>
    <row r="34" spans="1:18" ht="14.25" x14ac:dyDescent="0.15">
      <c r="A34" s="325"/>
      <c r="B34" s="1065" t="s">
        <v>8</v>
      </c>
      <c r="C34" s="1066"/>
      <c r="D34" s="315" t="s">
        <v>1</v>
      </c>
      <c r="E34" s="316" t="s">
        <v>2</v>
      </c>
      <c r="F34" s="330"/>
      <c r="G34" s="326"/>
      <c r="H34" s="1065" t="s">
        <v>8</v>
      </c>
      <c r="I34" s="1066"/>
      <c r="J34" s="315" t="s">
        <v>1</v>
      </c>
      <c r="K34" s="316" t="s">
        <v>2</v>
      </c>
      <c r="L34" s="363"/>
      <c r="M34" s="326"/>
      <c r="N34" s="1065" t="s">
        <v>8</v>
      </c>
      <c r="O34" s="1066"/>
      <c r="P34" s="315" t="s">
        <v>1</v>
      </c>
      <c r="Q34" s="316" t="s">
        <v>2</v>
      </c>
      <c r="R34" s="328"/>
    </row>
    <row r="35" spans="1:18" ht="14.25" x14ac:dyDescent="0.15">
      <c r="A35" s="325"/>
      <c r="B35" s="357" t="str">
        <f t="shared" ref="B35:E48" si="10">B6</f>
        <v/>
      </c>
      <c r="C35" s="358" t="str">
        <f t="shared" si="10"/>
        <v/>
      </c>
      <c r="D35" s="359" t="str">
        <f t="shared" si="10"/>
        <v/>
      </c>
      <c r="E35" s="360" t="str">
        <f t="shared" si="10"/>
        <v/>
      </c>
      <c r="F35" s="330"/>
      <c r="G35" s="326"/>
      <c r="H35" s="357" t="str">
        <f t="shared" ref="H35:H48" si="11">B6</f>
        <v/>
      </c>
      <c r="I35" s="358" t="str">
        <f t="shared" ref="I35:I48" si="12">C6</f>
        <v/>
      </c>
      <c r="J35" s="359" t="str">
        <f t="shared" ref="J35:J48" si="13">D6</f>
        <v/>
      </c>
      <c r="K35" s="360" t="str">
        <f t="shared" ref="K35:K48" si="14">E6</f>
        <v/>
      </c>
      <c r="L35" s="363"/>
      <c r="M35" s="326"/>
      <c r="N35" s="357" t="str">
        <f t="shared" ref="N35:N48" si="15">B6</f>
        <v/>
      </c>
      <c r="O35" s="358" t="str">
        <f t="shared" ref="O35:O48" si="16">C6</f>
        <v/>
      </c>
      <c r="P35" s="359" t="str">
        <f t="shared" ref="P35:P48" si="17">D6</f>
        <v/>
      </c>
      <c r="Q35" s="360" t="str">
        <f t="shared" ref="Q35:Q48" si="18">E6</f>
        <v/>
      </c>
      <c r="R35" s="328"/>
    </row>
    <row r="36" spans="1:18" ht="14.25" x14ac:dyDescent="0.15">
      <c r="A36" s="325"/>
      <c r="B36" s="357" t="str">
        <f t="shared" si="10"/>
        <v/>
      </c>
      <c r="C36" s="358" t="str">
        <f t="shared" si="10"/>
        <v/>
      </c>
      <c r="D36" s="359" t="str">
        <f t="shared" si="10"/>
        <v/>
      </c>
      <c r="E36" s="360" t="str">
        <f t="shared" si="10"/>
        <v/>
      </c>
      <c r="F36" s="330"/>
      <c r="G36" s="326"/>
      <c r="H36" s="357" t="str">
        <f t="shared" si="11"/>
        <v/>
      </c>
      <c r="I36" s="361" t="str">
        <f t="shared" si="12"/>
        <v/>
      </c>
      <c r="J36" s="359" t="str">
        <f t="shared" si="13"/>
        <v/>
      </c>
      <c r="K36" s="360" t="str">
        <f t="shared" si="14"/>
        <v/>
      </c>
      <c r="L36" s="363"/>
      <c r="M36" s="326"/>
      <c r="N36" s="357" t="str">
        <f t="shared" si="15"/>
        <v/>
      </c>
      <c r="O36" s="358" t="str">
        <f t="shared" si="16"/>
        <v/>
      </c>
      <c r="P36" s="359" t="str">
        <f t="shared" si="17"/>
        <v/>
      </c>
      <c r="Q36" s="360" t="str">
        <f t="shared" si="18"/>
        <v/>
      </c>
      <c r="R36" s="328"/>
    </row>
    <row r="37" spans="1:18" ht="14.25" x14ac:dyDescent="0.15">
      <c r="A37" s="325"/>
      <c r="B37" s="357" t="str">
        <f t="shared" si="10"/>
        <v/>
      </c>
      <c r="C37" s="358" t="str">
        <f t="shared" si="10"/>
        <v/>
      </c>
      <c r="D37" s="359" t="str">
        <f t="shared" si="10"/>
        <v/>
      </c>
      <c r="E37" s="360" t="str">
        <f t="shared" si="10"/>
        <v/>
      </c>
      <c r="F37" s="330"/>
      <c r="G37" s="326"/>
      <c r="H37" s="357" t="str">
        <f t="shared" si="11"/>
        <v/>
      </c>
      <c r="I37" s="361" t="str">
        <f t="shared" si="12"/>
        <v/>
      </c>
      <c r="J37" s="359" t="str">
        <f t="shared" si="13"/>
        <v/>
      </c>
      <c r="K37" s="360" t="str">
        <f t="shared" si="14"/>
        <v/>
      </c>
      <c r="L37" s="363"/>
      <c r="M37" s="326"/>
      <c r="N37" s="357" t="str">
        <f t="shared" si="15"/>
        <v/>
      </c>
      <c r="O37" s="358" t="str">
        <f t="shared" si="16"/>
        <v/>
      </c>
      <c r="P37" s="359" t="str">
        <f t="shared" si="17"/>
        <v/>
      </c>
      <c r="Q37" s="360" t="str">
        <f t="shared" si="18"/>
        <v/>
      </c>
      <c r="R37" s="328"/>
    </row>
    <row r="38" spans="1:18" ht="14.25" x14ac:dyDescent="0.15">
      <c r="A38" s="325"/>
      <c r="B38" s="357" t="str">
        <f t="shared" si="10"/>
        <v/>
      </c>
      <c r="C38" s="358" t="str">
        <f t="shared" si="10"/>
        <v/>
      </c>
      <c r="D38" s="359" t="str">
        <f t="shared" si="10"/>
        <v/>
      </c>
      <c r="E38" s="360" t="str">
        <f t="shared" si="10"/>
        <v/>
      </c>
      <c r="F38" s="330"/>
      <c r="G38" s="326"/>
      <c r="H38" s="357" t="str">
        <f t="shared" si="11"/>
        <v/>
      </c>
      <c r="I38" s="361" t="str">
        <f t="shared" si="12"/>
        <v/>
      </c>
      <c r="J38" s="359" t="str">
        <f t="shared" si="13"/>
        <v/>
      </c>
      <c r="K38" s="360" t="str">
        <f t="shared" si="14"/>
        <v/>
      </c>
      <c r="L38" s="363"/>
      <c r="M38" s="326"/>
      <c r="N38" s="357" t="str">
        <f t="shared" si="15"/>
        <v/>
      </c>
      <c r="O38" s="358" t="str">
        <f t="shared" si="16"/>
        <v/>
      </c>
      <c r="P38" s="359" t="str">
        <f t="shared" si="17"/>
        <v/>
      </c>
      <c r="Q38" s="360" t="str">
        <f t="shared" si="18"/>
        <v/>
      </c>
      <c r="R38" s="328"/>
    </row>
    <row r="39" spans="1:18" ht="14.25" x14ac:dyDescent="0.15">
      <c r="A39" s="325"/>
      <c r="B39" s="357" t="str">
        <f t="shared" si="10"/>
        <v/>
      </c>
      <c r="C39" s="358" t="str">
        <f t="shared" si="10"/>
        <v/>
      </c>
      <c r="D39" s="359" t="str">
        <f t="shared" si="10"/>
        <v/>
      </c>
      <c r="E39" s="360" t="str">
        <f t="shared" si="10"/>
        <v/>
      </c>
      <c r="F39" s="330"/>
      <c r="G39" s="326"/>
      <c r="H39" s="357" t="str">
        <f t="shared" si="11"/>
        <v/>
      </c>
      <c r="I39" s="361" t="str">
        <f t="shared" si="12"/>
        <v/>
      </c>
      <c r="J39" s="359" t="str">
        <f t="shared" si="13"/>
        <v/>
      </c>
      <c r="K39" s="360" t="str">
        <f t="shared" si="14"/>
        <v/>
      </c>
      <c r="L39" s="363"/>
      <c r="M39" s="326"/>
      <c r="N39" s="357" t="str">
        <f t="shared" si="15"/>
        <v/>
      </c>
      <c r="O39" s="358" t="str">
        <f t="shared" si="16"/>
        <v/>
      </c>
      <c r="P39" s="359" t="str">
        <f t="shared" si="17"/>
        <v/>
      </c>
      <c r="Q39" s="360" t="str">
        <f t="shared" si="18"/>
        <v/>
      </c>
      <c r="R39" s="328"/>
    </row>
    <row r="40" spans="1:18" ht="14.25" x14ac:dyDescent="0.15">
      <c r="A40" s="325"/>
      <c r="B40" s="357" t="str">
        <f t="shared" si="10"/>
        <v/>
      </c>
      <c r="C40" s="358" t="str">
        <f t="shared" si="10"/>
        <v/>
      </c>
      <c r="D40" s="359" t="str">
        <f t="shared" si="10"/>
        <v/>
      </c>
      <c r="E40" s="360" t="str">
        <f t="shared" si="10"/>
        <v/>
      </c>
      <c r="F40" s="330"/>
      <c r="G40" s="326"/>
      <c r="H40" s="357" t="str">
        <f t="shared" si="11"/>
        <v/>
      </c>
      <c r="I40" s="361" t="str">
        <f t="shared" si="12"/>
        <v/>
      </c>
      <c r="J40" s="359" t="str">
        <f t="shared" si="13"/>
        <v/>
      </c>
      <c r="K40" s="360" t="str">
        <f t="shared" si="14"/>
        <v/>
      </c>
      <c r="L40" s="363"/>
      <c r="M40" s="326"/>
      <c r="N40" s="357" t="str">
        <f t="shared" si="15"/>
        <v/>
      </c>
      <c r="O40" s="358" t="str">
        <f t="shared" si="16"/>
        <v/>
      </c>
      <c r="P40" s="359" t="str">
        <f t="shared" si="17"/>
        <v/>
      </c>
      <c r="Q40" s="360" t="str">
        <f t="shared" si="18"/>
        <v/>
      </c>
      <c r="R40" s="328"/>
    </row>
    <row r="41" spans="1:18" ht="14.25" x14ac:dyDescent="0.15">
      <c r="A41" s="325"/>
      <c r="B41" s="357" t="str">
        <f t="shared" si="10"/>
        <v/>
      </c>
      <c r="C41" s="358" t="str">
        <f t="shared" si="10"/>
        <v/>
      </c>
      <c r="D41" s="359" t="str">
        <f t="shared" si="10"/>
        <v/>
      </c>
      <c r="E41" s="360" t="str">
        <f t="shared" si="10"/>
        <v/>
      </c>
      <c r="F41" s="330"/>
      <c r="G41" s="326"/>
      <c r="H41" s="357" t="str">
        <f t="shared" si="11"/>
        <v/>
      </c>
      <c r="I41" s="361" t="str">
        <f t="shared" si="12"/>
        <v/>
      </c>
      <c r="J41" s="359" t="str">
        <f t="shared" si="13"/>
        <v/>
      </c>
      <c r="K41" s="360" t="str">
        <f t="shared" si="14"/>
        <v/>
      </c>
      <c r="L41" s="363"/>
      <c r="M41" s="326"/>
      <c r="N41" s="357" t="str">
        <f t="shared" si="15"/>
        <v/>
      </c>
      <c r="O41" s="358" t="str">
        <f t="shared" si="16"/>
        <v/>
      </c>
      <c r="P41" s="359" t="str">
        <f t="shared" si="17"/>
        <v/>
      </c>
      <c r="Q41" s="360" t="str">
        <f t="shared" si="18"/>
        <v/>
      </c>
      <c r="R41" s="328"/>
    </row>
    <row r="42" spans="1:18" ht="14.25" x14ac:dyDescent="0.15">
      <c r="A42" s="325"/>
      <c r="B42" s="357" t="str">
        <f t="shared" si="10"/>
        <v/>
      </c>
      <c r="C42" s="358" t="str">
        <f t="shared" si="10"/>
        <v/>
      </c>
      <c r="D42" s="359" t="str">
        <f t="shared" si="10"/>
        <v/>
      </c>
      <c r="E42" s="360" t="str">
        <f t="shared" si="10"/>
        <v/>
      </c>
      <c r="F42" s="330"/>
      <c r="G42" s="326"/>
      <c r="H42" s="357" t="str">
        <f t="shared" si="11"/>
        <v/>
      </c>
      <c r="I42" s="361" t="str">
        <f t="shared" si="12"/>
        <v/>
      </c>
      <c r="J42" s="359" t="str">
        <f t="shared" si="13"/>
        <v/>
      </c>
      <c r="K42" s="360" t="str">
        <f t="shared" si="14"/>
        <v/>
      </c>
      <c r="L42" s="363"/>
      <c r="M42" s="326"/>
      <c r="N42" s="357" t="str">
        <f t="shared" si="15"/>
        <v/>
      </c>
      <c r="O42" s="358" t="str">
        <f t="shared" si="16"/>
        <v/>
      </c>
      <c r="P42" s="359" t="str">
        <f t="shared" si="17"/>
        <v/>
      </c>
      <c r="Q42" s="360" t="str">
        <f t="shared" si="18"/>
        <v/>
      </c>
      <c r="R42" s="328"/>
    </row>
    <row r="43" spans="1:18" ht="14.25" x14ac:dyDescent="0.15">
      <c r="A43" s="325"/>
      <c r="B43" s="357" t="str">
        <f t="shared" si="10"/>
        <v/>
      </c>
      <c r="C43" s="358" t="str">
        <f t="shared" si="10"/>
        <v/>
      </c>
      <c r="D43" s="359" t="str">
        <f t="shared" si="10"/>
        <v/>
      </c>
      <c r="E43" s="360" t="str">
        <f t="shared" si="10"/>
        <v/>
      </c>
      <c r="F43" s="326"/>
      <c r="G43" s="329"/>
      <c r="H43" s="357" t="str">
        <f t="shared" si="11"/>
        <v/>
      </c>
      <c r="I43" s="361" t="str">
        <f t="shared" si="12"/>
        <v/>
      </c>
      <c r="J43" s="359" t="str">
        <f t="shared" si="13"/>
        <v/>
      </c>
      <c r="K43" s="360" t="str">
        <f t="shared" si="14"/>
        <v/>
      </c>
      <c r="L43" s="363"/>
      <c r="M43" s="326"/>
      <c r="N43" s="357" t="str">
        <f t="shared" si="15"/>
        <v/>
      </c>
      <c r="O43" s="358" t="str">
        <f t="shared" si="16"/>
        <v/>
      </c>
      <c r="P43" s="359" t="str">
        <f t="shared" si="17"/>
        <v/>
      </c>
      <c r="Q43" s="360" t="str">
        <f t="shared" si="18"/>
        <v/>
      </c>
      <c r="R43" s="328"/>
    </row>
    <row r="44" spans="1:18" ht="14.25" x14ac:dyDescent="0.15">
      <c r="A44" s="325"/>
      <c r="B44" s="357" t="str">
        <f t="shared" si="10"/>
        <v/>
      </c>
      <c r="C44" s="358" t="str">
        <f t="shared" si="10"/>
        <v/>
      </c>
      <c r="D44" s="359" t="str">
        <f t="shared" si="10"/>
        <v/>
      </c>
      <c r="E44" s="360" t="str">
        <f t="shared" si="10"/>
        <v/>
      </c>
      <c r="F44" s="326"/>
      <c r="G44" s="329"/>
      <c r="H44" s="357" t="str">
        <f t="shared" si="11"/>
        <v/>
      </c>
      <c r="I44" s="361" t="str">
        <f t="shared" si="12"/>
        <v/>
      </c>
      <c r="J44" s="359" t="str">
        <f t="shared" si="13"/>
        <v/>
      </c>
      <c r="K44" s="360" t="str">
        <f t="shared" si="14"/>
        <v/>
      </c>
      <c r="L44" s="363"/>
      <c r="M44" s="326"/>
      <c r="N44" s="357" t="str">
        <f t="shared" si="15"/>
        <v/>
      </c>
      <c r="O44" s="358" t="str">
        <f t="shared" si="16"/>
        <v/>
      </c>
      <c r="P44" s="359" t="str">
        <f t="shared" si="17"/>
        <v/>
      </c>
      <c r="Q44" s="360" t="str">
        <f t="shared" si="18"/>
        <v/>
      </c>
      <c r="R44" s="328"/>
    </row>
    <row r="45" spans="1:18" ht="14.25" x14ac:dyDescent="0.15">
      <c r="A45" s="325"/>
      <c r="B45" s="357" t="str">
        <f t="shared" si="10"/>
        <v/>
      </c>
      <c r="C45" s="358" t="str">
        <f t="shared" si="10"/>
        <v/>
      </c>
      <c r="D45" s="359" t="str">
        <f t="shared" si="10"/>
        <v/>
      </c>
      <c r="E45" s="360" t="str">
        <f t="shared" si="10"/>
        <v/>
      </c>
      <c r="F45" s="326"/>
      <c r="G45" s="329"/>
      <c r="H45" s="357" t="str">
        <f t="shared" si="11"/>
        <v/>
      </c>
      <c r="I45" s="361" t="str">
        <f t="shared" si="12"/>
        <v/>
      </c>
      <c r="J45" s="359" t="str">
        <f t="shared" si="13"/>
        <v/>
      </c>
      <c r="K45" s="360" t="str">
        <f t="shared" si="14"/>
        <v/>
      </c>
      <c r="L45" s="363"/>
      <c r="M45" s="326"/>
      <c r="N45" s="357" t="str">
        <f t="shared" si="15"/>
        <v/>
      </c>
      <c r="O45" s="358" t="str">
        <f t="shared" si="16"/>
        <v/>
      </c>
      <c r="P45" s="359" t="str">
        <f t="shared" si="17"/>
        <v/>
      </c>
      <c r="Q45" s="360" t="str">
        <f t="shared" si="18"/>
        <v/>
      </c>
      <c r="R45" s="328"/>
    </row>
    <row r="46" spans="1:18" ht="14.25" x14ac:dyDescent="0.15">
      <c r="A46" s="325"/>
      <c r="B46" s="357" t="str">
        <f t="shared" si="10"/>
        <v/>
      </c>
      <c r="C46" s="358" t="str">
        <f t="shared" si="10"/>
        <v/>
      </c>
      <c r="D46" s="359" t="str">
        <f t="shared" si="10"/>
        <v/>
      </c>
      <c r="E46" s="360" t="str">
        <f t="shared" si="10"/>
        <v/>
      </c>
      <c r="F46" s="330"/>
      <c r="G46" s="326"/>
      <c r="H46" s="357" t="str">
        <f t="shared" si="11"/>
        <v/>
      </c>
      <c r="I46" s="361" t="str">
        <f t="shared" si="12"/>
        <v/>
      </c>
      <c r="J46" s="359" t="str">
        <f t="shared" si="13"/>
        <v/>
      </c>
      <c r="K46" s="360" t="str">
        <f t="shared" si="14"/>
        <v/>
      </c>
      <c r="L46" s="363"/>
      <c r="M46" s="326"/>
      <c r="N46" s="357" t="str">
        <f t="shared" si="15"/>
        <v/>
      </c>
      <c r="O46" s="358" t="str">
        <f t="shared" si="16"/>
        <v/>
      </c>
      <c r="P46" s="359" t="str">
        <f t="shared" si="17"/>
        <v/>
      </c>
      <c r="Q46" s="360" t="str">
        <f t="shared" si="18"/>
        <v/>
      </c>
      <c r="R46" s="328"/>
    </row>
    <row r="47" spans="1:18" ht="14.25" x14ac:dyDescent="0.15">
      <c r="A47" s="325"/>
      <c r="B47" s="357" t="str">
        <f t="shared" si="10"/>
        <v/>
      </c>
      <c r="C47" s="358" t="str">
        <f t="shared" si="10"/>
        <v/>
      </c>
      <c r="D47" s="359" t="str">
        <f t="shared" si="10"/>
        <v/>
      </c>
      <c r="E47" s="360" t="str">
        <f t="shared" si="10"/>
        <v/>
      </c>
      <c r="F47" s="330"/>
      <c r="G47" s="326"/>
      <c r="H47" s="357" t="str">
        <f t="shared" si="11"/>
        <v/>
      </c>
      <c r="I47" s="361" t="str">
        <f t="shared" si="12"/>
        <v/>
      </c>
      <c r="J47" s="359" t="str">
        <f t="shared" si="13"/>
        <v/>
      </c>
      <c r="K47" s="360" t="str">
        <f t="shared" si="14"/>
        <v/>
      </c>
      <c r="L47" s="363"/>
      <c r="M47" s="326"/>
      <c r="N47" s="357" t="str">
        <f t="shared" si="15"/>
        <v/>
      </c>
      <c r="O47" s="358" t="str">
        <f t="shared" si="16"/>
        <v/>
      </c>
      <c r="P47" s="359" t="str">
        <f t="shared" si="17"/>
        <v/>
      </c>
      <c r="Q47" s="360" t="str">
        <f t="shared" si="18"/>
        <v/>
      </c>
      <c r="R47" s="328"/>
    </row>
    <row r="48" spans="1:18" ht="14.25" x14ac:dyDescent="0.15">
      <c r="A48" s="325"/>
      <c r="B48" s="357" t="str">
        <f t="shared" si="10"/>
        <v/>
      </c>
      <c r="C48" s="358" t="str">
        <f t="shared" si="10"/>
        <v/>
      </c>
      <c r="D48" s="359" t="str">
        <f t="shared" si="10"/>
        <v/>
      </c>
      <c r="E48" s="360" t="str">
        <f t="shared" si="10"/>
        <v/>
      </c>
      <c r="F48" s="326"/>
      <c r="G48" s="329"/>
      <c r="H48" s="357" t="str">
        <f t="shared" si="11"/>
        <v/>
      </c>
      <c r="I48" s="361" t="str">
        <f t="shared" si="12"/>
        <v/>
      </c>
      <c r="J48" s="359" t="str">
        <f t="shared" si="13"/>
        <v/>
      </c>
      <c r="K48" s="360" t="str">
        <f t="shared" si="14"/>
        <v/>
      </c>
      <c r="L48" s="363"/>
      <c r="M48" s="326"/>
      <c r="N48" s="357" t="str">
        <f t="shared" si="15"/>
        <v/>
      </c>
      <c r="O48" s="358" t="str">
        <f t="shared" si="16"/>
        <v/>
      </c>
      <c r="P48" s="359" t="str">
        <f t="shared" si="17"/>
        <v/>
      </c>
      <c r="Q48" s="360" t="str">
        <f t="shared" si="18"/>
        <v/>
      </c>
      <c r="R48" s="328"/>
    </row>
    <row r="49" spans="1:18" ht="14.25" x14ac:dyDescent="0.15">
      <c r="A49" s="325"/>
      <c r="B49" s="1071" t="s">
        <v>583</v>
      </c>
      <c r="C49" s="1071"/>
      <c r="D49" s="1072"/>
      <c r="E49" s="1072"/>
      <c r="F49" s="326"/>
      <c r="G49" s="327"/>
      <c r="H49" s="1071" t="s">
        <v>583</v>
      </c>
      <c r="I49" s="1071"/>
      <c r="J49" s="1072"/>
      <c r="K49" s="1072"/>
      <c r="L49" s="363"/>
      <c r="M49" s="326"/>
      <c r="N49" s="1071" t="s">
        <v>583</v>
      </c>
      <c r="O49" s="1071"/>
      <c r="P49" s="1072"/>
      <c r="Q49" s="1072"/>
      <c r="R49" s="328"/>
    </row>
    <row r="50" spans="1:18" ht="14.25" x14ac:dyDescent="0.15">
      <c r="A50" s="325"/>
      <c r="B50" s="315"/>
      <c r="C50" s="358" t="str">
        <f t="shared" ref="C50:E51" si="19">C21</f>
        <v/>
      </c>
      <c r="D50" s="359" t="str">
        <f t="shared" si="19"/>
        <v/>
      </c>
      <c r="E50" s="360" t="str">
        <f t="shared" si="19"/>
        <v/>
      </c>
      <c r="F50" s="326"/>
      <c r="G50" s="329"/>
      <c r="H50" s="315"/>
      <c r="I50" s="358" t="str">
        <f t="shared" ref="I50:K51" si="20">C21</f>
        <v/>
      </c>
      <c r="J50" s="359" t="str">
        <f t="shared" si="20"/>
        <v/>
      </c>
      <c r="K50" s="360" t="str">
        <f t="shared" si="20"/>
        <v/>
      </c>
      <c r="L50" s="363"/>
      <c r="M50" s="326"/>
      <c r="N50" s="315"/>
      <c r="O50" s="358" t="str">
        <f t="shared" ref="O50:Q51" si="21">C21</f>
        <v/>
      </c>
      <c r="P50" s="359" t="str">
        <f t="shared" si="21"/>
        <v/>
      </c>
      <c r="Q50" s="360" t="str">
        <f t="shared" si="21"/>
        <v/>
      </c>
      <c r="R50" s="328"/>
    </row>
    <row r="51" spans="1:18" ht="14.25" x14ac:dyDescent="0.15">
      <c r="A51" s="325"/>
      <c r="B51" s="332"/>
      <c r="C51" s="361" t="str">
        <f t="shared" ca="1" si="19"/>
        <v/>
      </c>
      <c r="D51" s="359" t="str">
        <f t="shared" ca="1" si="19"/>
        <v/>
      </c>
      <c r="E51" s="360" t="str">
        <f t="shared" ca="1" si="19"/>
        <v/>
      </c>
      <c r="F51" s="330"/>
      <c r="G51" s="326"/>
      <c r="H51" s="332"/>
      <c r="I51" s="361" t="str">
        <f t="shared" ca="1" si="20"/>
        <v/>
      </c>
      <c r="J51" s="359" t="str">
        <f t="shared" ca="1" si="20"/>
        <v/>
      </c>
      <c r="K51" s="360" t="str">
        <f t="shared" ca="1" si="20"/>
        <v/>
      </c>
      <c r="L51" s="363"/>
      <c r="M51" s="326"/>
      <c r="N51" s="332"/>
      <c r="O51" s="361" t="str">
        <f t="shared" ca="1" si="21"/>
        <v/>
      </c>
      <c r="P51" s="359" t="str">
        <f t="shared" ca="1" si="21"/>
        <v/>
      </c>
      <c r="Q51" s="360" t="str">
        <f t="shared" ca="1" si="21"/>
        <v/>
      </c>
      <c r="R51" s="328"/>
    </row>
    <row r="52" spans="1:18" ht="11.25" customHeight="1" x14ac:dyDescent="0.15">
      <c r="A52" s="325"/>
      <c r="B52" s="326"/>
      <c r="C52" s="326"/>
      <c r="D52" s="326"/>
      <c r="E52" s="326"/>
      <c r="F52" s="336"/>
      <c r="G52" s="326"/>
      <c r="H52" s="326"/>
      <c r="I52" s="326"/>
      <c r="J52" s="326"/>
      <c r="K52" s="326"/>
      <c r="L52" s="363"/>
      <c r="M52" s="326"/>
      <c r="N52" s="326"/>
      <c r="O52" s="326"/>
      <c r="P52" s="326"/>
      <c r="Q52" s="326"/>
      <c r="R52" s="328"/>
    </row>
    <row r="53" spans="1:18" ht="14.25" x14ac:dyDescent="0.15">
      <c r="A53" s="325"/>
      <c r="B53" s="317" t="s">
        <v>584</v>
      </c>
      <c r="C53" s="317"/>
      <c r="D53" s="317"/>
      <c r="E53" s="317"/>
      <c r="F53" s="336"/>
      <c r="G53" s="326"/>
      <c r="H53" s="317" t="s">
        <v>584</v>
      </c>
      <c r="I53" s="317"/>
      <c r="J53" s="317"/>
      <c r="K53" s="317"/>
      <c r="L53" s="363"/>
      <c r="M53" s="326"/>
      <c r="N53" s="317" t="s">
        <v>584</v>
      </c>
      <c r="O53" s="317"/>
      <c r="P53" s="317"/>
      <c r="Q53" s="317"/>
      <c r="R53" s="328"/>
    </row>
    <row r="54" spans="1:18" ht="14.25" x14ac:dyDescent="0.15">
      <c r="A54" s="325"/>
      <c r="B54" s="334"/>
      <c r="C54" s="334"/>
      <c r="D54" s="335"/>
      <c r="E54" s="334"/>
      <c r="F54" s="336"/>
      <c r="G54" s="326"/>
      <c r="H54" s="334"/>
      <c r="I54" s="334"/>
      <c r="J54" s="335"/>
      <c r="K54" s="334"/>
      <c r="L54" s="363"/>
      <c r="M54" s="326"/>
      <c r="N54" s="334"/>
      <c r="O54" s="334"/>
      <c r="P54" s="335"/>
      <c r="Q54" s="334"/>
      <c r="R54" s="328"/>
    </row>
    <row r="55" spans="1:18" ht="14.25" x14ac:dyDescent="0.15">
      <c r="A55" s="325"/>
      <c r="B55" s="317" t="s">
        <v>585</v>
      </c>
      <c r="C55" s="317"/>
      <c r="D55" s="317"/>
      <c r="E55" s="317"/>
      <c r="F55" s="326"/>
      <c r="G55" s="329"/>
      <c r="H55" s="317" t="s">
        <v>585</v>
      </c>
      <c r="I55" s="317"/>
      <c r="J55" s="317"/>
      <c r="K55" s="317"/>
      <c r="L55" s="363"/>
      <c r="M55" s="326"/>
      <c r="N55" s="317" t="s">
        <v>585</v>
      </c>
      <c r="O55" s="317"/>
      <c r="P55" s="317"/>
      <c r="Q55" s="317"/>
      <c r="R55" s="328"/>
    </row>
    <row r="56" spans="1:18" ht="14.25" x14ac:dyDescent="0.15">
      <c r="A56" s="325"/>
      <c r="B56" s="334"/>
      <c r="C56" s="334"/>
      <c r="D56" s="335"/>
      <c r="E56" s="334"/>
      <c r="F56" s="326"/>
      <c r="G56" s="329"/>
      <c r="H56" s="334"/>
      <c r="I56" s="334"/>
      <c r="J56" s="335"/>
      <c r="K56" s="334"/>
      <c r="L56" s="363"/>
      <c r="M56" s="326"/>
      <c r="N56" s="334"/>
      <c r="O56" s="334"/>
      <c r="P56" s="335"/>
      <c r="Q56" s="334"/>
      <c r="R56" s="328"/>
    </row>
    <row r="57" spans="1:18" ht="14.25" x14ac:dyDescent="0.15">
      <c r="A57" s="325"/>
      <c r="B57" s="317"/>
      <c r="C57" s="317"/>
      <c r="D57" s="337"/>
      <c r="E57" s="317"/>
      <c r="F57" s="336"/>
      <c r="G57" s="326"/>
      <c r="H57" s="317"/>
      <c r="I57" s="317"/>
      <c r="J57" s="337"/>
      <c r="K57" s="317"/>
      <c r="L57" s="363"/>
      <c r="M57" s="326"/>
      <c r="N57" s="317"/>
      <c r="O57" s="317"/>
      <c r="P57" s="337"/>
      <c r="Q57" s="317"/>
      <c r="R57" s="328"/>
    </row>
    <row r="58" spans="1:18" ht="14.25" x14ac:dyDescent="0.15">
      <c r="A58" s="325"/>
      <c r="B58" s="317"/>
      <c r="C58" s="317"/>
      <c r="D58" s="337"/>
      <c r="E58" s="317"/>
      <c r="F58" s="363"/>
      <c r="G58" s="326"/>
      <c r="H58" s="317"/>
      <c r="I58" s="317"/>
      <c r="J58" s="337"/>
      <c r="K58" s="317"/>
      <c r="L58" s="363"/>
      <c r="M58" s="326"/>
      <c r="N58" s="317"/>
      <c r="O58" s="317"/>
      <c r="P58" s="337"/>
      <c r="Q58" s="317"/>
      <c r="R58" s="328"/>
    </row>
    <row r="59" spans="1:18" ht="14.25" thickBot="1" x14ac:dyDescent="0.2">
      <c r="A59" s="344"/>
      <c r="B59" s="345"/>
      <c r="C59" s="345"/>
      <c r="D59" s="345"/>
      <c r="E59" s="345"/>
      <c r="F59" s="365"/>
      <c r="G59" s="345"/>
      <c r="H59" s="345"/>
      <c r="I59" s="345"/>
      <c r="J59" s="345"/>
      <c r="K59" s="345"/>
      <c r="L59" s="365"/>
      <c r="M59" s="345"/>
      <c r="N59" s="345"/>
      <c r="O59" s="345"/>
      <c r="P59" s="345"/>
      <c r="Q59" s="345"/>
      <c r="R59" s="346"/>
    </row>
  </sheetData>
  <sheetProtection password="FFBB" sheet="1" objects="1" scenarios="1"/>
  <mergeCells count="24">
    <mergeCell ref="B34:C34"/>
    <mergeCell ref="H34:I34"/>
    <mergeCell ref="N34:O34"/>
    <mergeCell ref="B49:E49"/>
    <mergeCell ref="H49:K49"/>
    <mergeCell ref="N49:Q49"/>
    <mergeCell ref="B32:E32"/>
    <mergeCell ref="H32:K32"/>
    <mergeCell ref="N32:Q32"/>
    <mergeCell ref="B33:E33"/>
    <mergeCell ref="H33:K33"/>
    <mergeCell ref="N33:Q33"/>
    <mergeCell ref="B5:C5"/>
    <mergeCell ref="H5:I5"/>
    <mergeCell ref="N5:O5"/>
    <mergeCell ref="B20:E20"/>
    <mergeCell ref="H20:K20"/>
    <mergeCell ref="N20:Q20"/>
    <mergeCell ref="B3:E3"/>
    <mergeCell ref="H3:K3"/>
    <mergeCell ref="N3:Q3"/>
    <mergeCell ref="B4:E4"/>
    <mergeCell ref="H4:K4"/>
    <mergeCell ref="N4:Q4"/>
  </mergeCells>
  <phoneticPr fontId="22"/>
  <printOptions horizontalCentered="1" verticalCentered="1"/>
  <pageMargins left="0.25" right="0.25"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B1:P36"/>
  <sheetViews>
    <sheetView view="pageBreakPreview" zoomScale="115" zoomScaleNormal="115" zoomScaleSheetLayoutView="115" workbookViewId="0">
      <selection activeCell="C9" sqref="C9"/>
    </sheetView>
  </sheetViews>
  <sheetFormatPr defaultRowHeight="13.5" x14ac:dyDescent="0.15"/>
  <cols>
    <col min="1" max="1" width="3.625" style="366" customWidth="1"/>
    <col min="2" max="2" width="5.625" style="366" customWidth="1"/>
    <col min="3" max="3" width="9.625" style="366" customWidth="1"/>
    <col min="4" max="4" width="5.625" style="366" customWidth="1"/>
    <col min="5" max="10" width="9.625" style="366" customWidth="1"/>
    <col min="11" max="11" width="3.625" style="366" customWidth="1"/>
    <col min="12" max="12" width="0" style="366" hidden="1" customWidth="1"/>
    <col min="13" max="13" width="16.25" style="366" hidden="1" customWidth="1"/>
    <col min="14" max="25" width="0" style="366" hidden="1" customWidth="1"/>
    <col min="26" max="256" width="9" style="366"/>
    <col min="257" max="257" width="3.625" style="366" customWidth="1"/>
    <col min="258" max="258" width="5.625" style="366" customWidth="1"/>
    <col min="259" max="259" width="9.625" style="366" customWidth="1"/>
    <col min="260" max="260" width="5.625" style="366" customWidth="1"/>
    <col min="261" max="266" width="9.625" style="366" customWidth="1"/>
    <col min="267" max="267" width="3.625" style="366" customWidth="1"/>
    <col min="268" max="512" width="9" style="366"/>
    <col min="513" max="513" width="3.625" style="366" customWidth="1"/>
    <col min="514" max="514" width="5.625" style="366" customWidth="1"/>
    <col min="515" max="515" width="9.625" style="366" customWidth="1"/>
    <col min="516" max="516" width="5.625" style="366" customWidth="1"/>
    <col min="517" max="522" width="9.625" style="366" customWidth="1"/>
    <col min="523" max="523" width="3.625" style="366" customWidth="1"/>
    <col min="524" max="768" width="9" style="366"/>
    <col min="769" max="769" width="3.625" style="366" customWidth="1"/>
    <col min="770" max="770" width="5.625" style="366" customWidth="1"/>
    <col min="771" max="771" width="9.625" style="366" customWidth="1"/>
    <col min="772" max="772" width="5.625" style="366" customWidth="1"/>
    <col min="773" max="778" width="9.625" style="366" customWidth="1"/>
    <col min="779" max="779" width="3.625" style="366" customWidth="1"/>
    <col min="780" max="1024" width="9" style="366"/>
    <col min="1025" max="1025" width="3.625" style="366" customWidth="1"/>
    <col min="1026" max="1026" width="5.625" style="366" customWidth="1"/>
    <col min="1027" max="1027" width="9.625" style="366" customWidth="1"/>
    <col min="1028" max="1028" width="5.625" style="366" customWidth="1"/>
    <col min="1029" max="1034" width="9.625" style="366" customWidth="1"/>
    <col min="1035" max="1035" width="3.625" style="366" customWidth="1"/>
    <col min="1036" max="1280" width="9" style="366"/>
    <col min="1281" max="1281" width="3.625" style="366" customWidth="1"/>
    <col min="1282" max="1282" width="5.625" style="366" customWidth="1"/>
    <col min="1283" max="1283" width="9.625" style="366" customWidth="1"/>
    <col min="1284" max="1284" width="5.625" style="366" customWidth="1"/>
    <col min="1285" max="1290" width="9.625" style="366" customWidth="1"/>
    <col min="1291" max="1291" width="3.625" style="366" customWidth="1"/>
    <col min="1292" max="1536" width="9" style="366"/>
    <col min="1537" max="1537" width="3.625" style="366" customWidth="1"/>
    <col min="1538" max="1538" width="5.625" style="366" customWidth="1"/>
    <col min="1539" max="1539" width="9.625" style="366" customWidth="1"/>
    <col min="1540" max="1540" width="5.625" style="366" customWidth="1"/>
    <col min="1541" max="1546" width="9.625" style="366" customWidth="1"/>
    <col min="1547" max="1547" width="3.625" style="366" customWidth="1"/>
    <col min="1548" max="1792" width="9" style="366"/>
    <col min="1793" max="1793" width="3.625" style="366" customWidth="1"/>
    <col min="1794" max="1794" width="5.625" style="366" customWidth="1"/>
    <col min="1795" max="1795" width="9.625" style="366" customWidth="1"/>
    <col min="1796" max="1796" width="5.625" style="366" customWidth="1"/>
    <col min="1797" max="1802" width="9.625" style="366" customWidth="1"/>
    <col min="1803" max="1803" width="3.625" style="366" customWidth="1"/>
    <col min="1804" max="2048" width="9" style="366"/>
    <col min="2049" max="2049" width="3.625" style="366" customWidth="1"/>
    <col min="2050" max="2050" width="5.625" style="366" customWidth="1"/>
    <col min="2051" max="2051" width="9.625" style="366" customWidth="1"/>
    <col min="2052" max="2052" width="5.625" style="366" customWidth="1"/>
    <col min="2053" max="2058" width="9.625" style="366" customWidth="1"/>
    <col min="2059" max="2059" width="3.625" style="366" customWidth="1"/>
    <col min="2060" max="2304" width="9" style="366"/>
    <col min="2305" max="2305" width="3.625" style="366" customWidth="1"/>
    <col min="2306" max="2306" width="5.625" style="366" customWidth="1"/>
    <col min="2307" max="2307" width="9.625" style="366" customWidth="1"/>
    <col min="2308" max="2308" width="5.625" style="366" customWidth="1"/>
    <col min="2309" max="2314" width="9.625" style="366" customWidth="1"/>
    <col min="2315" max="2315" width="3.625" style="366" customWidth="1"/>
    <col min="2316" max="2560" width="9" style="366"/>
    <col min="2561" max="2561" width="3.625" style="366" customWidth="1"/>
    <col min="2562" max="2562" width="5.625" style="366" customWidth="1"/>
    <col min="2563" max="2563" width="9.625" style="366" customWidth="1"/>
    <col min="2564" max="2564" width="5.625" style="366" customWidth="1"/>
    <col min="2565" max="2570" width="9.625" style="366" customWidth="1"/>
    <col min="2571" max="2571" width="3.625" style="366" customWidth="1"/>
    <col min="2572" max="2816" width="9" style="366"/>
    <col min="2817" max="2817" width="3.625" style="366" customWidth="1"/>
    <col min="2818" max="2818" width="5.625" style="366" customWidth="1"/>
    <col min="2819" max="2819" width="9.625" style="366" customWidth="1"/>
    <col min="2820" max="2820" width="5.625" style="366" customWidth="1"/>
    <col min="2821" max="2826" width="9.625" style="366" customWidth="1"/>
    <col min="2827" max="2827" width="3.625" style="366" customWidth="1"/>
    <col min="2828" max="3072" width="9" style="366"/>
    <col min="3073" max="3073" width="3.625" style="366" customWidth="1"/>
    <col min="3074" max="3074" width="5.625" style="366" customWidth="1"/>
    <col min="3075" max="3075" width="9.625" style="366" customWidth="1"/>
    <col min="3076" max="3076" width="5.625" style="366" customWidth="1"/>
    <col min="3077" max="3082" width="9.625" style="366" customWidth="1"/>
    <col min="3083" max="3083" width="3.625" style="366" customWidth="1"/>
    <col min="3084" max="3328" width="9" style="366"/>
    <col min="3329" max="3329" width="3.625" style="366" customWidth="1"/>
    <col min="3330" max="3330" width="5.625" style="366" customWidth="1"/>
    <col min="3331" max="3331" width="9.625" style="366" customWidth="1"/>
    <col min="3332" max="3332" width="5.625" style="366" customWidth="1"/>
    <col min="3333" max="3338" width="9.625" style="366" customWidth="1"/>
    <col min="3339" max="3339" width="3.625" style="366" customWidth="1"/>
    <col min="3340" max="3584" width="9" style="366"/>
    <col min="3585" max="3585" width="3.625" style="366" customWidth="1"/>
    <col min="3586" max="3586" width="5.625" style="366" customWidth="1"/>
    <col min="3587" max="3587" width="9.625" style="366" customWidth="1"/>
    <col min="3588" max="3588" width="5.625" style="366" customWidth="1"/>
    <col min="3589" max="3594" width="9.625" style="366" customWidth="1"/>
    <col min="3595" max="3595" width="3.625" style="366" customWidth="1"/>
    <col min="3596" max="3840" width="9" style="366"/>
    <col min="3841" max="3841" width="3.625" style="366" customWidth="1"/>
    <col min="3842" max="3842" width="5.625" style="366" customWidth="1"/>
    <col min="3843" max="3843" width="9.625" style="366" customWidth="1"/>
    <col min="3844" max="3844" width="5.625" style="366" customWidth="1"/>
    <col min="3845" max="3850" width="9.625" style="366" customWidth="1"/>
    <col min="3851" max="3851" width="3.625" style="366" customWidth="1"/>
    <col min="3852" max="4096" width="9" style="366"/>
    <col min="4097" max="4097" width="3.625" style="366" customWidth="1"/>
    <col min="4098" max="4098" width="5.625" style="366" customWidth="1"/>
    <col min="4099" max="4099" width="9.625" style="366" customWidth="1"/>
    <col min="4100" max="4100" width="5.625" style="366" customWidth="1"/>
    <col min="4101" max="4106" width="9.625" style="366" customWidth="1"/>
    <col min="4107" max="4107" width="3.625" style="366" customWidth="1"/>
    <col min="4108" max="4352" width="9" style="366"/>
    <col min="4353" max="4353" width="3.625" style="366" customWidth="1"/>
    <col min="4354" max="4354" width="5.625" style="366" customWidth="1"/>
    <col min="4355" max="4355" width="9.625" style="366" customWidth="1"/>
    <col min="4356" max="4356" width="5.625" style="366" customWidth="1"/>
    <col min="4357" max="4362" width="9.625" style="366" customWidth="1"/>
    <col min="4363" max="4363" width="3.625" style="366" customWidth="1"/>
    <col min="4364" max="4608" width="9" style="366"/>
    <col min="4609" max="4609" width="3.625" style="366" customWidth="1"/>
    <col min="4610" max="4610" width="5.625" style="366" customWidth="1"/>
    <col min="4611" max="4611" width="9.625" style="366" customWidth="1"/>
    <col min="4612" max="4612" width="5.625" style="366" customWidth="1"/>
    <col min="4613" max="4618" width="9.625" style="366" customWidth="1"/>
    <col min="4619" max="4619" width="3.625" style="366" customWidth="1"/>
    <col min="4620" max="4864" width="9" style="366"/>
    <col min="4865" max="4865" width="3.625" style="366" customWidth="1"/>
    <col min="4866" max="4866" width="5.625" style="366" customWidth="1"/>
    <col min="4867" max="4867" width="9.625" style="366" customWidth="1"/>
    <col min="4868" max="4868" width="5.625" style="366" customWidth="1"/>
    <col min="4869" max="4874" width="9.625" style="366" customWidth="1"/>
    <col min="4875" max="4875" width="3.625" style="366" customWidth="1"/>
    <col min="4876" max="5120" width="9" style="366"/>
    <col min="5121" max="5121" width="3.625" style="366" customWidth="1"/>
    <col min="5122" max="5122" width="5.625" style="366" customWidth="1"/>
    <col min="5123" max="5123" width="9.625" style="366" customWidth="1"/>
    <col min="5124" max="5124" width="5.625" style="366" customWidth="1"/>
    <col min="5125" max="5130" width="9.625" style="366" customWidth="1"/>
    <col min="5131" max="5131" width="3.625" style="366" customWidth="1"/>
    <col min="5132" max="5376" width="9" style="366"/>
    <col min="5377" max="5377" width="3.625" style="366" customWidth="1"/>
    <col min="5378" max="5378" width="5.625" style="366" customWidth="1"/>
    <col min="5379" max="5379" width="9.625" style="366" customWidth="1"/>
    <col min="5380" max="5380" width="5.625" style="366" customWidth="1"/>
    <col min="5381" max="5386" width="9.625" style="366" customWidth="1"/>
    <col min="5387" max="5387" width="3.625" style="366" customWidth="1"/>
    <col min="5388" max="5632" width="9" style="366"/>
    <col min="5633" max="5633" width="3.625" style="366" customWidth="1"/>
    <col min="5634" max="5634" width="5.625" style="366" customWidth="1"/>
    <col min="5635" max="5635" width="9.625" style="366" customWidth="1"/>
    <col min="5636" max="5636" width="5.625" style="366" customWidth="1"/>
    <col min="5637" max="5642" width="9.625" style="366" customWidth="1"/>
    <col min="5643" max="5643" width="3.625" style="366" customWidth="1"/>
    <col min="5644" max="5888" width="9" style="366"/>
    <col min="5889" max="5889" width="3.625" style="366" customWidth="1"/>
    <col min="5890" max="5890" width="5.625" style="366" customWidth="1"/>
    <col min="5891" max="5891" width="9.625" style="366" customWidth="1"/>
    <col min="5892" max="5892" width="5.625" style="366" customWidth="1"/>
    <col min="5893" max="5898" width="9.625" style="366" customWidth="1"/>
    <col min="5899" max="5899" width="3.625" style="366" customWidth="1"/>
    <col min="5900" max="6144" width="9" style="366"/>
    <col min="6145" max="6145" width="3.625" style="366" customWidth="1"/>
    <col min="6146" max="6146" width="5.625" style="366" customWidth="1"/>
    <col min="6147" max="6147" width="9.625" style="366" customWidth="1"/>
    <col min="6148" max="6148" width="5.625" style="366" customWidth="1"/>
    <col min="6149" max="6154" width="9.625" style="366" customWidth="1"/>
    <col min="6155" max="6155" width="3.625" style="366" customWidth="1"/>
    <col min="6156" max="6400" width="9" style="366"/>
    <col min="6401" max="6401" width="3.625" style="366" customWidth="1"/>
    <col min="6402" max="6402" width="5.625" style="366" customWidth="1"/>
    <col min="6403" max="6403" width="9.625" style="366" customWidth="1"/>
    <col min="6404" max="6404" width="5.625" style="366" customWidth="1"/>
    <col min="6405" max="6410" width="9.625" style="366" customWidth="1"/>
    <col min="6411" max="6411" width="3.625" style="366" customWidth="1"/>
    <col min="6412" max="6656" width="9" style="366"/>
    <col min="6657" max="6657" width="3.625" style="366" customWidth="1"/>
    <col min="6658" max="6658" width="5.625" style="366" customWidth="1"/>
    <col min="6659" max="6659" width="9.625" style="366" customWidth="1"/>
    <col min="6660" max="6660" width="5.625" style="366" customWidth="1"/>
    <col min="6661" max="6666" width="9.625" style="366" customWidth="1"/>
    <col min="6667" max="6667" width="3.625" style="366" customWidth="1"/>
    <col min="6668" max="6912" width="9" style="366"/>
    <col min="6913" max="6913" width="3.625" style="366" customWidth="1"/>
    <col min="6914" max="6914" width="5.625" style="366" customWidth="1"/>
    <col min="6915" max="6915" width="9.625" style="366" customWidth="1"/>
    <col min="6916" max="6916" width="5.625" style="366" customWidth="1"/>
    <col min="6917" max="6922" width="9.625" style="366" customWidth="1"/>
    <col min="6923" max="6923" width="3.625" style="366" customWidth="1"/>
    <col min="6924" max="7168" width="9" style="366"/>
    <col min="7169" max="7169" width="3.625" style="366" customWidth="1"/>
    <col min="7170" max="7170" width="5.625" style="366" customWidth="1"/>
    <col min="7171" max="7171" width="9.625" style="366" customWidth="1"/>
    <col min="7172" max="7172" width="5.625" style="366" customWidth="1"/>
    <col min="7173" max="7178" width="9.625" style="366" customWidth="1"/>
    <col min="7179" max="7179" width="3.625" style="366" customWidth="1"/>
    <col min="7180" max="7424" width="9" style="366"/>
    <col min="7425" max="7425" width="3.625" style="366" customWidth="1"/>
    <col min="7426" max="7426" width="5.625" style="366" customWidth="1"/>
    <col min="7427" max="7427" width="9.625" style="366" customWidth="1"/>
    <col min="7428" max="7428" width="5.625" style="366" customWidth="1"/>
    <col min="7429" max="7434" width="9.625" style="366" customWidth="1"/>
    <col min="7435" max="7435" width="3.625" style="366" customWidth="1"/>
    <col min="7436" max="7680" width="9" style="366"/>
    <col min="7681" max="7681" width="3.625" style="366" customWidth="1"/>
    <col min="7682" max="7682" width="5.625" style="366" customWidth="1"/>
    <col min="7683" max="7683" width="9.625" style="366" customWidth="1"/>
    <col min="7684" max="7684" width="5.625" style="366" customWidth="1"/>
    <col min="7685" max="7690" width="9.625" style="366" customWidth="1"/>
    <col min="7691" max="7691" width="3.625" style="366" customWidth="1"/>
    <col min="7692" max="7936" width="9" style="366"/>
    <col min="7937" max="7937" width="3.625" style="366" customWidth="1"/>
    <col min="7938" max="7938" width="5.625" style="366" customWidth="1"/>
    <col min="7939" max="7939" width="9.625" style="366" customWidth="1"/>
    <col min="7940" max="7940" width="5.625" style="366" customWidth="1"/>
    <col min="7941" max="7946" width="9.625" style="366" customWidth="1"/>
    <col min="7947" max="7947" width="3.625" style="366" customWidth="1"/>
    <col min="7948" max="8192" width="9" style="366"/>
    <col min="8193" max="8193" width="3.625" style="366" customWidth="1"/>
    <col min="8194" max="8194" width="5.625" style="366" customWidth="1"/>
    <col min="8195" max="8195" width="9.625" style="366" customWidth="1"/>
    <col min="8196" max="8196" width="5.625" style="366" customWidth="1"/>
    <col min="8197" max="8202" width="9.625" style="366" customWidth="1"/>
    <col min="8203" max="8203" width="3.625" style="366" customWidth="1"/>
    <col min="8204" max="8448" width="9" style="366"/>
    <col min="8449" max="8449" width="3.625" style="366" customWidth="1"/>
    <col min="8450" max="8450" width="5.625" style="366" customWidth="1"/>
    <col min="8451" max="8451" width="9.625" style="366" customWidth="1"/>
    <col min="8452" max="8452" width="5.625" style="366" customWidth="1"/>
    <col min="8453" max="8458" width="9.625" style="366" customWidth="1"/>
    <col min="8459" max="8459" width="3.625" style="366" customWidth="1"/>
    <col min="8460" max="8704" width="9" style="366"/>
    <col min="8705" max="8705" width="3.625" style="366" customWidth="1"/>
    <col min="8706" max="8706" width="5.625" style="366" customWidth="1"/>
    <col min="8707" max="8707" width="9.625" style="366" customWidth="1"/>
    <col min="8708" max="8708" width="5.625" style="366" customWidth="1"/>
    <col min="8709" max="8714" width="9.625" style="366" customWidth="1"/>
    <col min="8715" max="8715" width="3.625" style="366" customWidth="1"/>
    <col min="8716" max="8960" width="9" style="366"/>
    <col min="8961" max="8961" width="3.625" style="366" customWidth="1"/>
    <col min="8962" max="8962" width="5.625" style="366" customWidth="1"/>
    <col min="8963" max="8963" width="9.625" style="366" customWidth="1"/>
    <col min="8964" max="8964" width="5.625" style="366" customWidth="1"/>
    <col min="8965" max="8970" width="9.625" style="366" customWidth="1"/>
    <col min="8971" max="8971" width="3.625" style="366" customWidth="1"/>
    <col min="8972" max="9216" width="9" style="366"/>
    <col min="9217" max="9217" width="3.625" style="366" customWidth="1"/>
    <col min="9218" max="9218" width="5.625" style="366" customWidth="1"/>
    <col min="9219" max="9219" width="9.625" style="366" customWidth="1"/>
    <col min="9220" max="9220" width="5.625" style="366" customWidth="1"/>
    <col min="9221" max="9226" width="9.625" style="366" customWidth="1"/>
    <col min="9227" max="9227" width="3.625" style="366" customWidth="1"/>
    <col min="9228" max="9472" width="9" style="366"/>
    <col min="9473" max="9473" width="3.625" style="366" customWidth="1"/>
    <col min="9474" max="9474" width="5.625" style="366" customWidth="1"/>
    <col min="9475" max="9475" width="9.625" style="366" customWidth="1"/>
    <col min="9476" max="9476" width="5.625" style="366" customWidth="1"/>
    <col min="9477" max="9482" width="9.625" style="366" customWidth="1"/>
    <col min="9483" max="9483" width="3.625" style="366" customWidth="1"/>
    <col min="9484" max="9728" width="9" style="366"/>
    <col min="9729" max="9729" width="3.625" style="366" customWidth="1"/>
    <col min="9730" max="9730" width="5.625" style="366" customWidth="1"/>
    <col min="9731" max="9731" width="9.625" style="366" customWidth="1"/>
    <col min="9732" max="9732" width="5.625" style="366" customWidth="1"/>
    <col min="9733" max="9738" width="9.625" style="366" customWidth="1"/>
    <col min="9739" max="9739" width="3.625" style="366" customWidth="1"/>
    <col min="9740" max="9984" width="9" style="366"/>
    <col min="9985" max="9985" width="3.625" style="366" customWidth="1"/>
    <col min="9986" max="9986" width="5.625" style="366" customWidth="1"/>
    <col min="9987" max="9987" width="9.625" style="366" customWidth="1"/>
    <col min="9988" max="9988" width="5.625" style="366" customWidth="1"/>
    <col min="9989" max="9994" width="9.625" style="366" customWidth="1"/>
    <col min="9995" max="9995" width="3.625" style="366" customWidth="1"/>
    <col min="9996" max="10240" width="9" style="366"/>
    <col min="10241" max="10241" width="3.625" style="366" customWidth="1"/>
    <col min="10242" max="10242" width="5.625" style="366" customWidth="1"/>
    <col min="10243" max="10243" width="9.625" style="366" customWidth="1"/>
    <col min="10244" max="10244" width="5.625" style="366" customWidth="1"/>
    <col min="10245" max="10250" width="9.625" style="366" customWidth="1"/>
    <col min="10251" max="10251" width="3.625" style="366" customWidth="1"/>
    <col min="10252" max="10496" width="9" style="366"/>
    <col min="10497" max="10497" width="3.625" style="366" customWidth="1"/>
    <col min="10498" max="10498" width="5.625" style="366" customWidth="1"/>
    <col min="10499" max="10499" width="9.625" style="366" customWidth="1"/>
    <col min="10500" max="10500" width="5.625" style="366" customWidth="1"/>
    <col min="10501" max="10506" width="9.625" style="366" customWidth="1"/>
    <col min="10507" max="10507" width="3.625" style="366" customWidth="1"/>
    <col min="10508" max="10752" width="9" style="366"/>
    <col min="10753" max="10753" width="3.625" style="366" customWidth="1"/>
    <col min="10754" max="10754" width="5.625" style="366" customWidth="1"/>
    <col min="10755" max="10755" width="9.625" style="366" customWidth="1"/>
    <col min="10756" max="10756" width="5.625" style="366" customWidth="1"/>
    <col min="10757" max="10762" width="9.625" style="366" customWidth="1"/>
    <col min="10763" max="10763" width="3.625" style="366" customWidth="1"/>
    <col min="10764" max="11008" width="9" style="366"/>
    <col min="11009" max="11009" width="3.625" style="366" customWidth="1"/>
    <col min="11010" max="11010" width="5.625" style="366" customWidth="1"/>
    <col min="11011" max="11011" width="9.625" style="366" customWidth="1"/>
    <col min="11012" max="11012" width="5.625" style="366" customWidth="1"/>
    <col min="11013" max="11018" width="9.625" style="366" customWidth="1"/>
    <col min="11019" max="11019" width="3.625" style="366" customWidth="1"/>
    <col min="11020" max="11264" width="9" style="366"/>
    <col min="11265" max="11265" width="3.625" style="366" customWidth="1"/>
    <col min="11266" max="11266" width="5.625" style="366" customWidth="1"/>
    <col min="11267" max="11267" width="9.625" style="366" customWidth="1"/>
    <col min="11268" max="11268" width="5.625" style="366" customWidth="1"/>
    <col min="11269" max="11274" width="9.625" style="366" customWidth="1"/>
    <col min="11275" max="11275" width="3.625" style="366" customWidth="1"/>
    <col min="11276" max="11520" width="9" style="366"/>
    <col min="11521" max="11521" width="3.625" style="366" customWidth="1"/>
    <col min="11522" max="11522" width="5.625" style="366" customWidth="1"/>
    <col min="11523" max="11523" width="9.625" style="366" customWidth="1"/>
    <col min="11524" max="11524" width="5.625" style="366" customWidth="1"/>
    <col min="11525" max="11530" width="9.625" style="366" customWidth="1"/>
    <col min="11531" max="11531" width="3.625" style="366" customWidth="1"/>
    <col min="11532" max="11776" width="9" style="366"/>
    <col min="11777" max="11777" width="3.625" style="366" customWidth="1"/>
    <col min="11778" max="11778" width="5.625" style="366" customWidth="1"/>
    <col min="11779" max="11779" width="9.625" style="366" customWidth="1"/>
    <col min="11780" max="11780" width="5.625" style="366" customWidth="1"/>
    <col min="11781" max="11786" width="9.625" style="366" customWidth="1"/>
    <col min="11787" max="11787" width="3.625" style="366" customWidth="1"/>
    <col min="11788" max="12032" width="9" style="366"/>
    <col min="12033" max="12033" width="3.625" style="366" customWidth="1"/>
    <col min="12034" max="12034" width="5.625" style="366" customWidth="1"/>
    <col min="12035" max="12035" width="9.625" style="366" customWidth="1"/>
    <col min="12036" max="12036" width="5.625" style="366" customWidth="1"/>
    <col min="12037" max="12042" width="9.625" style="366" customWidth="1"/>
    <col min="12043" max="12043" width="3.625" style="366" customWidth="1"/>
    <col min="12044" max="12288" width="9" style="366"/>
    <col min="12289" max="12289" width="3.625" style="366" customWidth="1"/>
    <col min="12290" max="12290" width="5.625" style="366" customWidth="1"/>
    <col min="12291" max="12291" width="9.625" style="366" customWidth="1"/>
    <col min="12292" max="12292" width="5.625" style="366" customWidth="1"/>
    <col min="12293" max="12298" width="9.625" style="366" customWidth="1"/>
    <col min="12299" max="12299" width="3.625" style="366" customWidth="1"/>
    <col min="12300" max="12544" width="9" style="366"/>
    <col min="12545" max="12545" width="3.625" style="366" customWidth="1"/>
    <col min="12546" max="12546" width="5.625" style="366" customWidth="1"/>
    <col min="12547" max="12547" width="9.625" style="366" customWidth="1"/>
    <col min="12548" max="12548" width="5.625" style="366" customWidth="1"/>
    <col min="12549" max="12554" width="9.625" style="366" customWidth="1"/>
    <col min="12555" max="12555" width="3.625" style="366" customWidth="1"/>
    <col min="12556" max="12800" width="9" style="366"/>
    <col min="12801" max="12801" width="3.625" style="366" customWidth="1"/>
    <col min="12802" max="12802" width="5.625" style="366" customWidth="1"/>
    <col min="12803" max="12803" width="9.625" style="366" customWidth="1"/>
    <col min="12804" max="12804" width="5.625" style="366" customWidth="1"/>
    <col min="12805" max="12810" width="9.625" style="366" customWidth="1"/>
    <col min="12811" max="12811" width="3.625" style="366" customWidth="1"/>
    <col min="12812" max="13056" width="9" style="366"/>
    <col min="13057" max="13057" width="3.625" style="366" customWidth="1"/>
    <col min="13058" max="13058" width="5.625" style="366" customWidth="1"/>
    <col min="13059" max="13059" width="9.625" style="366" customWidth="1"/>
    <col min="13060" max="13060" width="5.625" style="366" customWidth="1"/>
    <col min="13061" max="13066" width="9.625" style="366" customWidth="1"/>
    <col min="13067" max="13067" width="3.625" style="366" customWidth="1"/>
    <col min="13068" max="13312" width="9" style="366"/>
    <col min="13313" max="13313" width="3.625" style="366" customWidth="1"/>
    <col min="13314" max="13314" width="5.625" style="366" customWidth="1"/>
    <col min="13315" max="13315" width="9.625" style="366" customWidth="1"/>
    <col min="13316" max="13316" width="5.625" style="366" customWidth="1"/>
    <col min="13317" max="13322" width="9.625" style="366" customWidth="1"/>
    <col min="13323" max="13323" width="3.625" style="366" customWidth="1"/>
    <col min="13324" max="13568" width="9" style="366"/>
    <col min="13569" max="13569" width="3.625" style="366" customWidth="1"/>
    <col min="13570" max="13570" width="5.625" style="366" customWidth="1"/>
    <col min="13571" max="13571" width="9.625" style="366" customWidth="1"/>
    <col min="13572" max="13572" width="5.625" style="366" customWidth="1"/>
    <col min="13573" max="13578" width="9.625" style="366" customWidth="1"/>
    <col min="13579" max="13579" width="3.625" style="366" customWidth="1"/>
    <col min="13580" max="13824" width="9" style="366"/>
    <col min="13825" max="13825" width="3.625" style="366" customWidth="1"/>
    <col min="13826" max="13826" width="5.625" style="366" customWidth="1"/>
    <col min="13827" max="13827" width="9.625" style="366" customWidth="1"/>
    <col min="13828" max="13828" width="5.625" style="366" customWidth="1"/>
    <col min="13829" max="13834" width="9.625" style="366" customWidth="1"/>
    <col min="13835" max="13835" width="3.625" style="366" customWidth="1"/>
    <col min="13836" max="14080" width="9" style="366"/>
    <col min="14081" max="14081" width="3.625" style="366" customWidth="1"/>
    <col min="14082" max="14082" width="5.625" style="366" customWidth="1"/>
    <col min="14083" max="14083" width="9.625" style="366" customWidth="1"/>
    <col min="14084" max="14084" width="5.625" style="366" customWidth="1"/>
    <col min="14085" max="14090" width="9.625" style="366" customWidth="1"/>
    <col min="14091" max="14091" width="3.625" style="366" customWidth="1"/>
    <col min="14092" max="14336" width="9" style="366"/>
    <col min="14337" max="14337" width="3.625" style="366" customWidth="1"/>
    <col min="14338" max="14338" width="5.625" style="366" customWidth="1"/>
    <col min="14339" max="14339" width="9.625" style="366" customWidth="1"/>
    <col min="14340" max="14340" width="5.625" style="366" customWidth="1"/>
    <col min="14341" max="14346" width="9.625" style="366" customWidth="1"/>
    <col min="14347" max="14347" width="3.625" style="366" customWidth="1"/>
    <col min="14348" max="14592" width="9" style="366"/>
    <col min="14593" max="14593" width="3.625" style="366" customWidth="1"/>
    <col min="14594" max="14594" width="5.625" style="366" customWidth="1"/>
    <col min="14595" max="14595" width="9.625" style="366" customWidth="1"/>
    <col min="14596" max="14596" width="5.625" style="366" customWidth="1"/>
    <col min="14597" max="14602" width="9.625" style="366" customWidth="1"/>
    <col min="14603" max="14603" width="3.625" style="366" customWidth="1"/>
    <col min="14604" max="14848" width="9" style="366"/>
    <col min="14849" max="14849" width="3.625" style="366" customWidth="1"/>
    <col min="14850" max="14850" width="5.625" style="366" customWidth="1"/>
    <col min="14851" max="14851" width="9.625" style="366" customWidth="1"/>
    <col min="14852" max="14852" width="5.625" style="366" customWidth="1"/>
    <col min="14853" max="14858" width="9.625" style="366" customWidth="1"/>
    <col min="14859" max="14859" width="3.625" style="366" customWidth="1"/>
    <col min="14860" max="15104" width="9" style="366"/>
    <col min="15105" max="15105" width="3.625" style="366" customWidth="1"/>
    <col min="15106" max="15106" width="5.625" style="366" customWidth="1"/>
    <col min="15107" max="15107" width="9.625" style="366" customWidth="1"/>
    <col min="15108" max="15108" width="5.625" style="366" customWidth="1"/>
    <col min="15109" max="15114" width="9.625" style="366" customWidth="1"/>
    <col min="15115" max="15115" width="3.625" style="366" customWidth="1"/>
    <col min="15116" max="15360" width="9" style="366"/>
    <col min="15361" max="15361" width="3.625" style="366" customWidth="1"/>
    <col min="15362" max="15362" width="5.625" style="366" customWidth="1"/>
    <col min="15363" max="15363" width="9.625" style="366" customWidth="1"/>
    <col min="15364" max="15364" width="5.625" style="366" customWidth="1"/>
    <col min="15365" max="15370" width="9.625" style="366" customWidth="1"/>
    <col min="15371" max="15371" width="3.625" style="366" customWidth="1"/>
    <col min="15372" max="15616" width="9" style="366"/>
    <col min="15617" max="15617" width="3.625" style="366" customWidth="1"/>
    <col min="15618" max="15618" width="5.625" style="366" customWidth="1"/>
    <col min="15619" max="15619" width="9.625" style="366" customWidth="1"/>
    <col min="15620" max="15620" width="5.625" style="366" customWidth="1"/>
    <col min="15621" max="15626" width="9.625" style="366" customWidth="1"/>
    <col min="15627" max="15627" width="3.625" style="366" customWidth="1"/>
    <col min="15628" max="15872" width="9" style="366"/>
    <col min="15873" max="15873" width="3.625" style="366" customWidth="1"/>
    <col min="15874" max="15874" width="5.625" style="366" customWidth="1"/>
    <col min="15875" max="15875" width="9.625" style="366" customWidth="1"/>
    <col min="15876" max="15876" width="5.625" style="366" customWidth="1"/>
    <col min="15877" max="15882" width="9.625" style="366" customWidth="1"/>
    <col min="15883" max="15883" width="3.625" style="366" customWidth="1"/>
    <col min="15884" max="16128" width="9" style="366"/>
    <col min="16129" max="16129" width="3.625" style="366" customWidth="1"/>
    <col min="16130" max="16130" width="5.625" style="366" customWidth="1"/>
    <col min="16131" max="16131" width="9.625" style="366" customWidth="1"/>
    <col min="16132" max="16132" width="5.625" style="366" customWidth="1"/>
    <col min="16133" max="16138" width="9.625" style="366" customWidth="1"/>
    <col min="16139" max="16139" width="3.625" style="366" customWidth="1"/>
    <col min="16140" max="16384" width="9" style="366"/>
  </cols>
  <sheetData>
    <row r="1" spans="2:16" ht="36" customHeight="1" x14ac:dyDescent="0.15">
      <c r="B1" s="1085" t="s">
        <v>610</v>
      </c>
      <c r="C1" s="1085"/>
      <c r="D1" s="1085"/>
      <c r="E1" s="1085"/>
      <c r="F1" s="1085"/>
      <c r="G1" s="1085"/>
      <c r="H1" s="1085"/>
      <c r="I1" s="1085"/>
      <c r="J1" s="1085"/>
    </row>
    <row r="2" spans="2:16" ht="21" customHeight="1" thickBot="1" x14ac:dyDescent="0.2"/>
    <row r="3" spans="2:16" ht="48" customHeight="1" x14ac:dyDescent="0.15">
      <c r="B3" s="1086" t="s">
        <v>70</v>
      </c>
      <c r="C3" s="1087"/>
      <c r="D3" s="1088" t="str">
        <f>IF(参加者登録申込書!$G$6&lt;&gt;"",参加者登録申込書!$G$6,"")</f>
        <v/>
      </c>
      <c r="E3" s="1088"/>
      <c r="F3" s="1089"/>
      <c r="G3" s="1089"/>
      <c r="H3" s="367" t="s">
        <v>611</v>
      </c>
      <c r="I3" s="1090" t="str">
        <f>IF(参加者登録申込書!$U$8&lt;&gt;"",参加者登録申込書!$U$8,"")</f>
        <v/>
      </c>
      <c r="J3" s="1091"/>
    </row>
    <row r="4" spans="2:16" ht="24" customHeight="1" x14ac:dyDescent="0.15">
      <c r="B4" s="1078" t="s">
        <v>612</v>
      </c>
      <c r="C4" s="1079"/>
      <c r="D4" s="1079"/>
      <c r="E4" s="1079"/>
      <c r="F4" s="1080" t="str">
        <f>IF(③出場者一覧!$F$5&lt;&gt;"",③出場者一覧!$F$5,"")</f>
        <v/>
      </c>
      <c r="G4" s="1080"/>
      <c r="H4" s="1080"/>
      <c r="I4" s="1080"/>
      <c r="J4" s="1081"/>
    </row>
    <row r="5" spans="2:16" ht="24" customHeight="1" x14ac:dyDescent="0.15">
      <c r="B5" s="1078" t="s">
        <v>40</v>
      </c>
      <c r="C5" s="1079"/>
      <c r="D5" s="1079"/>
      <c r="E5" s="1079"/>
      <c r="F5" s="1080" t="str">
        <f>IF(③出場者一覧!$F$6&lt;&gt;"",③出場者一覧!$F$6,"")</f>
        <v/>
      </c>
      <c r="G5" s="1080"/>
      <c r="H5" s="1080"/>
      <c r="I5" s="1080"/>
      <c r="J5" s="1081"/>
    </row>
    <row r="6" spans="2:16" ht="24" customHeight="1" x14ac:dyDescent="0.15">
      <c r="B6" s="1078" t="s">
        <v>18</v>
      </c>
      <c r="C6" s="1079"/>
      <c r="D6" s="1079"/>
      <c r="E6" s="1079"/>
      <c r="F6" s="1080" t="str">
        <f>IF(③出場者一覧!$F$7&lt;&gt;"",③出場者一覧!$F$7,"")</f>
        <v/>
      </c>
      <c r="G6" s="1080"/>
      <c r="H6" s="1080"/>
      <c r="I6" s="1080"/>
      <c r="J6" s="1081"/>
    </row>
    <row r="7" spans="2:16" ht="24" customHeight="1" x14ac:dyDescent="0.15">
      <c r="B7" s="1078" t="s">
        <v>18</v>
      </c>
      <c r="C7" s="1079"/>
      <c r="D7" s="1079"/>
      <c r="E7" s="1079"/>
      <c r="F7" s="1080" t="str">
        <f>IF(③出場者一覧!$F$8&lt;&gt;"",③出場者一覧!$F$8,"")</f>
        <v/>
      </c>
      <c r="G7" s="1080"/>
      <c r="H7" s="1080"/>
      <c r="I7" s="1080"/>
      <c r="J7" s="1081"/>
    </row>
    <row r="8" spans="2:16" ht="42" customHeight="1" x14ac:dyDescent="0.15">
      <c r="B8" s="368" t="s">
        <v>613</v>
      </c>
      <c r="C8" s="369" t="s">
        <v>614</v>
      </c>
      <c r="D8" s="370"/>
      <c r="E8" s="371" t="s">
        <v>615</v>
      </c>
      <c r="F8" s="1082" t="s">
        <v>79</v>
      </c>
      <c r="G8" s="1083"/>
      <c r="H8" s="1084"/>
      <c r="I8" s="372" t="s">
        <v>6</v>
      </c>
      <c r="J8" s="373" t="s">
        <v>137</v>
      </c>
      <c r="L8" s="366" t="s">
        <v>624</v>
      </c>
      <c r="M8" s="366" t="s">
        <v>620</v>
      </c>
      <c r="N8" s="366" t="s">
        <v>623</v>
      </c>
      <c r="O8" s="366" t="s">
        <v>629</v>
      </c>
      <c r="P8" s="366" t="s">
        <v>630</v>
      </c>
    </row>
    <row r="9" spans="2:16" ht="30" customHeight="1" x14ac:dyDescent="0.15">
      <c r="B9" s="374">
        <v>1</v>
      </c>
      <c r="C9" s="383" t="str">
        <f>IF(ISERR(SMALL(③出場者一覧!$AB$10:$AB$23,1)),"",SMALL(③出場者一覧!$AB$10:$AB$23,1))</f>
        <v/>
      </c>
      <c r="D9" s="375" t="s">
        <v>616</v>
      </c>
      <c r="E9" s="386"/>
      <c r="F9" s="1075" t="str">
        <f>IF(C9="","",VLOOKUP(C9,③出場者一覧!$AB$10:$AF$23,5,0))</f>
        <v/>
      </c>
      <c r="G9" s="1076"/>
      <c r="H9" s="1077"/>
      <c r="I9" s="379" t="str">
        <f>IF(C9="","",VLOOKUP(C9,③出場者一覧!$AB$10:$AH$23,7,0))</f>
        <v/>
      </c>
      <c r="J9" s="380" t="str">
        <f>IF(C9="","",VLOOKUP(C9,③出場者一覧!$AB$10:$AI$23,8,0))</f>
        <v/>
      </c>
      <c r="L9" s="366" t="str">
        <f>IF(C9="","",VLOOKUP(C9,③出場者一覧!$AB$10:$AG$23,6,0))</f>
        <v/>
      </c>
      <c r="M9" s="366" t="str">
        <f>IF($E9="","",VALUE(SUBSTITUTE(TRIM(ASC($E9))," ","")))</f>
        <v/>
      </c>
      <c r="N9" s="366" t="str">
        <f>IF(M9="",C9,M9)</f>
        <v/>
      </c>
      <c r="O9" s="366" t="str">
        <f>IF(C9="","",VLOOKUP(C9,③出場者一覧!$AB$10:$AJ$23,9,0))</f>
        <v/>
      </c>
      <c r="P9" s="366" t="str">
        <f>IF(C9="","",VLOOKUP(C9,③出場者一覧!$AB$10:$AK$23,10,0))</f>
        <v/>
      </c>
    </row>
    <row r="10" spans="2:16" ht="30" customHeight="1" x14ac:dyDescent="0.15">
      <c r="B10" s="374">
        <v>2</v>
      </c>
      <c r="C10" s="384" t="str">
        <f>IF(ISERR(SMALL(③出場者一覧!$AB$10:$AB$23,2)),"",SMALL(③出場者一覧!$AB$10:$AB$23,2))</f>
        <v/>
      </c>
      <c r="D10" s="375" t="s">
        <v>616</v>
      </c>
      <c r="E10" s="386"/>
      <c r="F10" s="1075" t="str">
        <f>IF(C10="","",VLOOKUP(C10,③出場者一覧!$AB$10:$AF$23,5,0))</f>
        <v/>
      </c>
      <c r="G10" s="1076"/>
      <c r="H10" s="1077"/>
      <c r="I10" s="379" t="str">
        <f>IF(C10="","",VLOOKUP(C10,③出場者一覧!$AB$10:$AH$23,7,0))</f>
        <v/>
      </c>
      <c r="J10" s="380" t="str">
        <f>IF(C10="","",VLOOKUP(C10,③出場者一覧!$AB$10:$AI$23,8,0))</f>
        <v/>
      </c>
      <c r="L10" s="366" t="str">
        <f>IF(C10="","",VLOOKUP(C10,③出場者一覧!$AB$10:$AG$23,6,0))</f>
        <v/>
      </c>
      <c r="M10" s="366" t="str">
        <f t="shared" ref="M10:M22" si="0">IF($E10="","",VALUE(SUBSTITUTE(TRIM(ASC($E10))," ","")))</f>
        <v/>
      </c>
      <c r="N10" s="366" t="str">
        <f t="shared" ref="N10:N22" si="1">IF(M10="",C10,M10)</f>
        <v/>
      </c>
      <c r="O10" s="366" t="str">
        <f>IF(C10="","",VLOOKUP(C10,③出場者一覧!$AB$10:$AJ$23,9,0))</f>
        <v/>
      </c>
      <c r="P10" s="366" t="str">
        <f>IF(C10="","",VLOOKUP(C10,③出場者一覧!$AB$10:$AK$23,10,0))</f>
        <v/>
      </c>
    </row>
    <row r="11" spans="2:16" ht="30" customHeight="1" x14ac:dyDescent="0.15">
      <c r="B11" s="374">
        <v>3</v>
      </c>
      <c r="C11" s="383" t="str">
        <f>IF(ISERR(SMALL(③出場者一覧!$AB$10:$AB$23,3)),"",SMALL(③出場者一覧!$AB$10:$AB$23,3))</f>
        <v/>
      </c>
      <c r="D11" s="375" t="s">
        <v>616</v>
      </c>
      <c r="E11" s="386"/>
      <c r="F11" s="1075" t="str">
        <f>IF(C11="","",VLOOKUP(C11,③出場者一覧!$AB$10:$AF$23,5,0))</f>
        <v/>
      </c>
      <c r="G11" s="1076"/>
      <c r="H11" s="1077"/>
      <c r="I11" s="379" t="str">
        <f>IF(C11="","",VLOOKUP(C11,③出場者一覧!$AB$10:$AH$23,7,0))</f>
        <v/>
      </c>
      <c r="J11" s="380" t="str">
        <f>IF(C11="","",VLOOKUP(C11,③出場者一覧!$AB$10:$AI$23,8,0))</f>
        <v/>
      </c>
      <c r="L11" s="366" t="str">
        <f>IF(C11="","",VLOOKUP(C11,③出場者一覧!$AB$10:$AG$23,6,0))</f>
        <v/>
      </c>
      <c r="M11" s="366" t="str">
        <f t="shared" si="0"/>
        <v/>
      </c>
      <c r="N11" s="366" t="str">
        <f t="shared" si="1"/>
        <v/>
      </c>
      <c r="O11" s="366" t="str">
        <f>IF(C11="","",VLOOKUP(C11,③出場者一覧!$AB$10:$AJ$23,9,0))</f>
        <v/>
      </c>
      <c r="P11" s="366" t="str">
        <f>IF(C11="","",VLOOKUP(C11,③出場者一覧!$AB$10:$AK$23,10,0))</f>
        <v/>
      </c>
    </row>
    <row r="12" spans="2:16" ht="30" customHeight="1" x14ac:dyDescent="0.15">
      <c r="B12" s="374">
        <v>4</v>
      </c>
      <c r="C12" s="383" t="str">
        <f>IF(ISERR(SMALL(③出場者一覧!$AB$10:$AB$23,4)),"",SMALL(③出場者一覧!$AB$10:$AB$23,4))</f>
        <v/>
      </c>
      <c r="D12" s="375" t="s">
        <v>616</v>
      </c>
      <c r="E12" s="386"/>
      <c r="F12" s="1075" t="str">
        <f>IF(C12="","",VLOOKUP(C12,③出場者一覧!$AB$10:$AF$23,5,0))</f>
        <v/>
      </c>
      <c r="G12" s="1076"/>
      <c r="H12" s="1077"/>
      <c r="I12" s="379" t="str">
        <f>IF(C12="","",VLOOKUP(C12,③出場者一覧!$AB$10:$AH$23,7,0))</f>
        <v/>
      </c>
      <c r="J12" s="380" t="str">
        <f>IF(C12="","",VLOOKUP(C12,③出場者一覧!$AB$10:$AI$23,8,0))</f>
        <v/>
      </c>
      <c r="L12" s="366" t="str">
        <f>IF(C12="","",VLOOKUP(C12,③出場者一覧!$AB$10:$AG$23,6,0))</f>
        <v/>
      </c>
      <c r="M12" s="366" t="str">
        <f t="shared" si="0"/>
        <v/>
      </c>
      <c r="N12" s="366" t="str">
        <f t="shared" si="1"/>
        <v/>
      </c>
      <c r="O12" s="366" t="str">
        <f>IF(C12="","",VLOOKUP(C12,③出場者一覧!$AB$10:$AJ$23,9,0))</f>
        <v/>
      </c>
      <c r="P12" s="366" t="str">
        <f>IF(C12="","",VLOOKUP(C12,③出場者一覧!$AB$10:$AK$23,10,0))</f>
        <v/>
      </c>
    </row>
    <row r="13" spans="2:16" ht="30" customHeight="1" x14ac:dyDescent="0.15">
      <c r="B13" s="374">
        <v>5</v>
      </c>
      <c r="C13" s="383" t="str">
        <f>IF(ISERR(SMALL(③出場者一覧!$AB$10:$AB$23,5)),"",SMALL(③出場者一覧!$AB$10:$AB$23,5))</f>
        <v/>
      </c>
      <c r="D13" s="375" t="s">
        <v>616</v>
      </c>
      <c r="E13" s="386"/>
      <c r="F13" s="1075" t="str">
        <f>IF(C13="","",VLOOKUP(C13,③出場者一覧!$AB$10:$AF$23,5,0))</f>
        <v/>
      </c>
      <c r="G13" s="1076"/>
      <c r="H13" s="1077"/>
      <c r="I13" s="379" t="str">
        <f>IF(C13="","",VLOOKUP(C13,③出場者一覧!$AB$10:$AH$23,7,0))</f>
        <v/>
      </c>
      <c r="J13" s="380" t="str">
        <f>IF(C13="","",VLOOKUP(C13,③出場者一覧!$AB$10:$AI$23,8,0))</f>
        <v/>
      </c>
      <c r="L13" s="366" t="str">
        <f>IF(C13="","",VLOOKUP(C13,③出場者一覧!$AB$10:$AG$23,6,0))</f>
        <v/>
      </c>
      <c r="M13" s="366" t="str">
        <f t="shared" si="0"/>
        <v/>
      </c>
      <c r="N13" s="366" t="str">
        <f t="shared" si="1"/>
        <v/>
      </c>
      <c r="O13" s="366" t="str">
        <f>IF(C13="","",VLOOKUP(C13,③出場者一覧!$AB$10:$AJ$23,9,0))</f>
        <v/>
      </c>
      <c r="P13" s="366" t="str">
        <f>IF(C13="","",VLOOKUP(C13,③出場者一覧!$AB$10:$AK$23,10,0))</f>
        <v/>
      </c>
    </row>
    <row r="14" spans="2:16" ht="30" customHeight="1" x14ac:dyDescent="0.15">
      <c r="B14" s="374">
        <v>6</v>
      </c>
      <c r="C14" s="383" t="str">
        <f>IF(ISERR(SMALL(③出場者一覧!$AB$10:$AB$23,6)),"",SMALL(③出場者一覧!$AB$10:$AB$23,6))</f>
        <v/>
      </c>
      <c r="D14" s="375" t="s">
        <v>616</v>
      </c>
      <c r="E14" s="386"/>
      <c r="F14" s="1075" t="str">
        <f>IF(C14="","",VLOOKUP(C14,③出場者一覧!$AB$10:$AF$23,5,0))</f>
        <v/>
      </c>
      <c r="G14" s="1076"/>
      <c r="H14" s="1077"/>
      <c r="I14" s="379" t="str">
        <f>IF(C14="","",VLOOKUP(C14,③出場者一覧!$AB$10:$AH$23,7,0))</f>
        <v/>
      </c>
      <c r="J14" s="380" t="str">
        <f>IF(C14="","",VLOOKUP(C14,③出場者一覧!$AB$10:$AI$23,8,0))</f>
        <v/>
      </c>
      <c r="L14" s="366" t="str">
        <f>IF(C14="","",VLOOKUP(C14,③出場者一覧!$AB$10:$AG$23,6,0))</f>
        <v/>
      </c>
      <c r="M14" s="366" t="str">
        <f t="shared" si="0"/>
        <v/>
      </c>
      <c r="N14" s="366" t="str">
        <f t="shared" si="1"/>
        <v/>
      </c>
      <c r="O14" s="366" t="str">
        <f>IF(C14="","",VLOOKUP(C14,③出場者一覧!$AB$10:$AJ$23,9,0))</f>
        <v/>
      </c>
      <c r="P14" s="366" t="str">
        <f>IF(C14="","",VLOOKUP(C14,③出場者一覧!$AB$10:$AK$23,10,0))</f>
        <v/>
      </c>
    </row>
    <row r="15" spans="2:16" ht="30" customHeight="1" x14ac:dyDescent="0.15">
      <c r="B15" s="374">
        <v>7</v>
      </c>
      <c r="C15" s="383" t="str">
        <f>IF(ISERR(SMALL(③出場者一覧!$AB$10:$AB$23,7)),"",SMALL(③出場者一覧!$AB$10:$AB$23,7))</f>
        <v/>
      </c>
      <c r="D15" s="375" t="s">
        <v>616</v>
      </c>
      <c r="E15" s="386"/>
      <c r="F15" s="1075" t="str">
        <f>IF(C15="","",VLOOKUP(C15,③出場者一覧!$AB$10:$AF$23,5,0))</f>
        <v/>
      </c>
      <c r="G15" s="1076"/>
      <c r="H15" s="1077"/>
      <c r="I15" s="379" t="str">
        <f>IF(C15="","",VLOOKUP(C15,③出場者一覧!$AB$10:$AH$23,7,0))</f>
        <v/>
      </c>
      <c r="J15" s="380" t="str">
        <f>IF(C15="","",VLOOKUP(C15,③出場者一覧!$AB$10:$AI$23,8,0))</f>
        <v/>
      </c>
      <c r="L15" s="366" t="str">
        <f>IF(C15="","",VLOOKUP(C15,③出場者一覧!$AB$10:$AG$23,6,0))</f>
        <v/>
      </c>
      <c r="M15" s="366" t="str">
        <f t="shared" si="0"/>
        <v/>
      </c>
      <c r="N15" s="366" t="str">
        <f t="shared" si="1"/>
        <v/>
      </c>
      <c r="O15" s="366" t="str">
        <f>IF(C15="","",VLOOKUP(C15,③出場者一覧!$AB$10:$AJ$23,9,0))</f>
        <v/>
      </c>
      <c r="P15" s="366" t="str">
        <f>IF(C15="","",VLOOKUP(C15,③出場者一覧!$AB$10:$AK$23,10,0))</f>
        <v/>
      </c>
    </row>
    <row r="16" spans="2:16" ht="30" customHeight="1" x14ac:dyDescent="0.15">
      <c r="B16" s="374">
        <v>8</v>
      </c>
      <c r="C16" s="383" t="str">
        <f>IF(ISERR(SMALL(③出場者一覧!$AB$10:$AB$23,8)),"",SMALL(③出場者一覧!$AB$10:$AB$23,8))</f>
        <v/>
      </c>
      <c r="D16" s="375" t="s">
        <v>616</v>
      </c>
      <c r="E16" s="386"/>
      <c r="F16" s="1075" t="str">
        <f>IF(C16="","",VLOOKUP(C16,③出場者一覧!$AB$10:$AF$23,5,0))</f>
        <v/>
      </c>
      <c r="G16" s="1076"/>
      <c r="H16" s="1077"/>
      <c r="I16" s="379" t="str">
        <f>IF(C16="","",VLOOKUP(C16,③出場者一覧!$AB$10:$AH$23,7,0))</f>
        <v/>
      </c>
      <c r="J16" s="380" t="str">
        <f>IF(C16="","",VLOOKUP(C16,③出場者一覧!$AB$10:$AI$23,8,0))</f>
        <v/>
      </c>
      <c r="L16" s="366" t="str">
        <f>IF(C16="","",VLOOKUP(C16,③出場者一覧!$AB$10:$AG$23,6,0))</f>
        <v/>
      </c>
      <c r="M16" s="366" t="str">
        <f t="shared" si="0"/>
        <v/>
      </c>
      <c r="N16" s="366" t="str">
        <f t="shared" si="1"/>
        <v/>
      </c>
      <c r="O16" s="366" t="str">
        <f>IF(C16="","",VLOOKUP(C16,③出場者一覧!$AB$10:$AJ$23,9,0))</f>
        <v/>
      </c>
      <c r="P16" s="366" t="str">
        <f>IF(C16="","",VLOOKUP(C16,③出場者一覧!$AB$10:$AK$23,10,0))</f>
        <v/>
      </c>
    </row>
    <row r="17" spans="2:16" ht="30" customHeight="1" x14ac:dyDescent="0.15">
      <c r="B17" s="374">
        <v>9</v>
      </c>
      <c r="C17" s="383" t="str">
        <f>IF(ISERR(SMALL(③出場者一覧!$AB$10:$AB$23,9)),"",SMALL(③出場者一覧!$AB$10:$AB$23,9))</f>
        <v/>
      </c>
      <c r="D17" s="375" t="s">
        <v>616</v>
      </c>
      <c r="E17" s="386"/>
      <c r="F17" s="1075" t="str">
        <f>IF(C17="","",VLOOKUP(C17,③出場者一覧!$AB$10:$AF$23,5,0))</f>
        <v/>
      </c>
      <c r="G17" s="1076"/>
      <c r="H17" s="1077"/>
      <c r="I17" s="379" t="str">
        <f>IF(C17="","",VLOOKUP(C17,③出場者一覧!$AB$10:$AH$23,7,0))</f>
        <v/>
      </c>
      <c r="J17" s="380" t="str">
        <f>IF(C17="","",VLOOKUP(C17,③出場者一覧!$AB$10:$AI$23,8,0))</f>
        <v/>
      </c>
      <c r="L17" s="366" t="str">
        <f>IF(C17="","",VLOOKUP(C17,③出場者一覧!$AB$10:$AG$23,6,0))</f>
        <v/>
      </c>
      <c r="M17" s="366" t="str">
        <f t="shared" si="0"/>
        <v/>
      </c>
      <c r="N17" s="366" t="str">
        <f t="shared" si="1"/>
        <v/>
      </c>
      <c r="O17" s="366" t="str">
        <f>IF(C17="","",VLOOKUP(C17,③出場者一覧!$AB$10:$AJ$23,9,0))</f>
        <v/>
      </c>
      <c r="P17" s="366" t="str">
        <f>IF(C17="","",VLOOKUP(C17,③出場者一覧!$AB$10:$AK$23,10,0))</f>
        <v/>
      </c>
    </row>
    <row r="18" spans="2:16" ht="30" customHeight="1" x14ac:dyDescent="0.15">
      <c r="B18" s="374">
        <v>10</v>
      </c>
      <c r="C18" s="383" t="str">
        <f>IF(ISERR(SMALL(③出場者一覧!$AB$10:$AB$23,10)),"",SMALL(③出場者一覧!$AB$10:$AB$23,10))</f>
        <v/>
      </c>
      <c r="D18" s="375" t="s">
        <v>616</v>
      </c>
      <c r="E18" s="386"/>
      <c r="F18" s="1075" t="str">
        <f>IF(C18="","",VLOOKUP(C18,③出場者一覧!$AB$10:$AF$23,5,0))</f>
        <v/>
      </c>
      <c r="G18" s="1076"/>
      <c r="H18" s="1077"/>
      <c r="I18" s="379" t="str">
        <f>IF(C18="","",VLOOKUP(C18,③出場者一覧!$AB$10:$AH$23,7,0))</f>
        <v/>
      </c>
      <c r="J18" s="380" t="str">
        <f>IF(C18="","",VLOOKUP(C18,③出場者一覧!$AB$10:$AI$23,8,0))</f>
        <v/>
      </c>
      <c r="L18" s="366" t="str">
        <f>IF(C18="","",VLOOKUP(C18,③出場者一覧!$AB$10:$AG$23,6,0))</f>
        <v/>
      </c>
      <c r="M18" s="366" t="str">
        <f t="shared" si="0"/>
        <v/>
      </c>
      <c r="N18" s="366" t="str">
        <f t="shared" si="1"/>
        <v/>
      </c>
      <c r="O18" s="366" t="str">
        <f>IF(C18="","",VLOOKUP(C18,③出場者一覧!$AB$10:$AJ$23,9,0))</f>
        <v/>
      </c>
      <c r="P18" s="366" t="str">
        <f>IF(C18="","",VLOOKUP(C18,③出場者一覧!$AB$10:$AK$23,10,0))</f>
        <v/>
      </c>
    </row>
    <row r="19" spans="2:16" ht="30" customHeight="1" x14ac:dyDescent="0.15">
      <c r="B19" s="374">
        <v>11</v>
      </c>
      <c r="C19" s="383" t="str">
        <f>IF(ISERR(SMALL(③出場者一覧!$AB$10:$AB$23,11)),"",SMALL(③出場者一覧!$AB$10:$AB$23,11))</f>
        <v/>
      </c>
      <c r="D19" s="375" t="s">
        <v>616</v>
      </c>
      <c r="E19" s="386"/>
      <c r="F19" s="1075" t="str">
        <f>IF(C19="","",VLOOKUP(C19,③出場者一覧!$AB$10:$AF$23,5,0))</f>
        <v/>
      </c>
      <c r="G19" s="1076"/>
      <c r="H19" s="1077"/>
      <c r="I19" s="379" t="str">
        <f>IF(C19="","",VLOOKUP(C19,③出場者一覧!$AB$10:$AH$23,7,0))</f>
        <v/>
      </c>
      <c r="J19" s="380" t="str">
        <f>IF(C19="","",VLOOKUP(C19,③出場者一覧!$AB$10:$AI$23,8,0))</f>
        <v/>
      </c>
      <c r="L19" s="366" t="str">
        <f>IF(C19="","",VLOOKUP(C19,③出場者一覧!$AB$10:$AG$23,6,0))</f>
        <v/>
      </c>
      <c r="M19" s="366" t="str">
        <f t="shared" si="0"/>
        <v/>
      </c>
      <c r="N19" s="366" t="str">
        <f t="shared" si="1"/>
        <v/>
      </c>
      <c r="O19" s="366" t="str">
        <f>IF(C19="","",VLOOKUP(C19,③出場者一覧!$AB$10:$AJ$23,9,0))</f>
        <v/>
      </c>
      <c r="P19" s="366" t="str">
        <f>IF(C19="","",VLOOKUP(C19,③出場者一覧!$AB$10:$AK$23,10,0))</f>
        <v/>
      </c>
    </row>
    <row r="20" spans="2:16" ht="30" customHeight="1" x14ac:dyDescent="0.15">
      <c r="B20" s="374">
        <v>12</v>
      </c>
      <c r="C20" s="383" t="str">
        <f>IF(ISERR(SMALL(③出場者一覧!$AB$10:$AB$23,12)),"",SMALL(③出場者一覧!$AB$10:$AB$23,12))</f>
        <v/>
      </c>
      <c r="D20" s="375" t="s">
        <v>616</v>
      </c>
      <c r="E20" s="386"/>
      <c r="F20" s="1073" t="str">
        <f>IF(C20="","",VLOOKUP(C20,③出場者一覧!$AB$10:$AF$23,5,0))</f>
        <v/>
      </c>
      <c r="G20" s="1073"/>
      <c r="H20" s="1073"/>
      <c r="I20" s="379" t="str">
        <f>IF(C20="","",VLOOKUP(C20,③出場者一覧!$AB$10:$AH$23,7,0))</f>
        <v/>
      </c>
      <c r="J20" s="380" t="str">
        <f>IF(C20="","",VLOOKUP(C20,③出場者一覧!$AB$10:$AI$23,8,0))</f>
        <v/>
      </c>
      <c r="L20" s="366" t="str">
        <f>IF(C20="","",VLOOKUP(C20,③出場者一覧!$AB$10:$AG$23,6,0))</f>
        <v/>
      </c>
      <c r="M20" s="366" t="str">
        <f t="shared" si="0"/>
        <v/>
      </c>
      <c r="N20" s="366" t="str">
        <f t="shared" si="1"/>
        <v/>
      </c>
      <c r="O20" s="366" t="str">
        <f>IF(C20="","",VLOOKUP(C20,③出場者一覧!$AB$10:$AJ$23,9,0))</f>
        <v/>
      </c>
      <c r="P20" s="366" t="str">
        <f>IF(C20="","",VLOOKUP(C20,③出場者一覧!$AB$10:$AK$23,10,0))</f>
        <v/>
      </c>
    </row>
    <row r="21" spans="2:16" ht="30" customHeight="1" x14ac:dyDescent="0.15">
      <c r="B21" s="374">
        <v>13</v>
      </c>
      <c r="C21" s="383" t="str">
        <f>IF(ISERR(SMALL(③出場者一覧!$AB$10:$AB$23,13)),"",SMALL(③出場者一覧!$AB$10:$AB$23,13))</f>
        <v/>
      </c>
      <c r="D21" s="375" t="s">
        <v>616</v>
      </c>
      <c r="E21" s="386"/>
      <c r="F21" s="1073" t="str">
        <f>IF(C21="","",VLOOKUP(C21,③出場者一覧!$AB$10:$AF$23,5,0))</f>
        <v/>
      </c>
      <c r="G21" s="1073"/>
      <c r="H21" s="1073"/>
      <c r="I21" s="379" t="str">
        <f>IF(C21="","",VLOOKUP(C21,③出場者一覧!$AB$10:$AH$23,7,0))</f>
        <v/>
      </c>
      <c r="J21" s="380" t="str">
        <f>IF(C21="","",VLOOKUP(C21,③出場者一覧!$AB$10:$AI$23,8,0))</f>
        <v/>
      </c>
      <c r="L21" s="366" t="str">
        <f>IF(C21="","",VLOOKUP(C21,③出場者一覧!$AB$10:$AG$23,6,0))</f>
        <v/>
      </c>
      <c r="M21" s="366" t="str">
        <f t="shared" si="0"/>
        <v/>
      </c>
      <c r="N21" s="366" t="str">
        <f t="shared" si="1"/>
        <v/>
      </c>
      <c r="O21" s="366" t="str">
        <f>IF(C21="","",VLOOKUP(C21,③出場者一覧!$AB$10:$AJ$23,9,0))</f>
        <v/>
      </c>
      <c r="P21" s="366" t="str">
        <f>IF(C21="","",VLOOKUP(C21,③出場者一覧!$AB$10:$AK$23,10,0))</f>
        <v/>
      </c>
    </row>
    <row r="22" spans="2:16" ht="30" customHeight="1" thickBot="1" x14ac:dyDescent="0.2">
      <c r="B22" s="376">
        <v>14</v>
      </c>
      <c r="C22" s="385" t="str">
        <f>IF(ISERR(SMALL(③出場者一覧!$AB$10:$AB$23,14)),"",SMALL(③出場者一覧!$AB$10:$AB$23,14))</f>
        <v/>
      </c>
      <c r="D22" s="377" t="s">
        <v>616</v>
      </c>
      <c r="E22" s="387"/>
      <c r="F22" s="1074" t="str">
        <f>IF(C22="","",VLOOKUP(C22,③出場者一覧!$AB$10:$AF$23,5,0))</f>
        <v/>
      </c>
      <c r="G22" s="1074"/>
      <c r="H22" s="1074"/>
      <c r="I22" s="381" t="str">
        <f>IF(C22="","",VLOOKUP(C22,③出場者一覧!$AB$10:$AH$23,7,0))</f>
        <v/>
      </c>
      <c r="J22" s="382" t="str">
        <f>IF(C22="","",VLOOKUP(C22,③出場者一覧!$AB$10:$AI$23,8,0))</f>
        <v/>
      </c>
      <c r="L22" s="366" t="str">
        <f>IF(C22="","",VLOOKUP(C22,③出場者一覧!$AB$10:$AG$23,6,0))</f>
        <v/>
      </c>
      <c r="M22" s="366" t="str">
        <f t="shared" si="0"/>
        <v/>
      </c>
      <c r="N22" s="366" t="str">
        <f t="shared" si="1"/>
        <v/>
      </c>
      <c r="O22" s="366" t="str">
        <f>IF(C22="","",VLOOKUP(C22,③出場者一覧!$AB$10:$AJ$23,9,0))</f>
        <v/>
      </c>
      <c r="P22" s="366" t="str">
        <f>IF(C22="","",VLOOKUP(C22,③出場者一覧!$AB$10:$AK$23,10,0))</f>
        <v/>
      </c>
    </row>
    <row r="23" spans="2:16" ht="15" customHeight="1" x14ac:dyDescent="0.15"/>
    <row r="24" spans="2:16" ht="21" customHeight="1" x14ac:dyDescent="0.15">
      <c r="B24" s="366" t="s">
        <v>619</v>
      </c>
    </row>
    <row r="25" spans="2:16" ht="21" customHeight="1" x14ac:dyDescent="0.15"/>
    <row r="26" spans="2:16" ht="15" customHeight="1" x14ac:dyDescent="0.15">
      <c r="B26" s="366" t="s">
        <v>617</v>
      </c>
    </row>
    <row r="27" spans="2:16" ht="21" customHeight="1" x14ac:dyDescent="0.15"/>
    <row r="28" spans="2:16" ht="15" customHeight="1" x14ac:dyDescent="0.15"/>
    <row r="29" spans="2:16" ht="21" customHeight="1" x14ac:dyDescent="0.15">
      <c r="B29" s="378" t="s">
        <v>657</v>
      </c>
    </row>
    <row r="30" spans="2:16" ht="21" customHeight="1" x14ac:dyDescent="0.15">
      <c r="B30" s="366" t="s">
        <v>618</v>
      </c>
    </row>
    <row r="31" spans="2:16" ht="21" customHeight="1" x14ac:dyDescent="0.15">
      <c r="C31" s="378"/>
    </row>
    <row r="32" spans="2:16" ht="21" customHeight="1" x14ac:dyDescent="0.15"/>
    <row r="33" ht="21" customHeight="1" x14ac:dyDescent="0.15"/>
    <row r="34" ht="21" customHeight="1" x14ac:dyDescent="0.15"/>
    <row r="35" ht="21" customHeight="1" x14ac:dyDescent="0.15"/>
    <row r="36" ht="21" customHeight="1" x14ac:dyDescent="0.15"/>
  </sheetData>
  <sheetProtection password="FFBB" sheet="1" objects="1" scenarios="1"/>
  <mergeCells count="27">
    <mergeCell ref="B1:J1"/>
    <mergeCell ref="B3:C3"/>
    <mergeCell ref="D3:G3"/>
    <mergeCell ref="I3:J3"/>
    <mergeCell ref="B4:E4"/>
    <mergeCell ref="F4:J4"/>
    <mergeCell ref="F13:H13"/>
    <mergeCell ref="B5:E5"/>
    <mergeCell ref="F5:J5"/>
    <mergeCell ref="B6:E6"/>
    <mergeCell ref="F6:J6"/>
    <mergeCell ref="B7:E7"/>
    <mergeCell ref="F7:J7"/>
    <mergeCell ref="F8:H8"/>
    <mergeCell ref="F9:H9"/>
    <mergeCell ref="F10:H10"/>
    <mergeCell ref="F11:H11"/>
    <mergeCell ref="F12:H12"/>
    <mergeCell ref="F20:H20"/>
    <mergeCell ref="F21:H21"/>
    <mergeCell ref="F22:H22"/>
    <mergeCell ref="F14:H14"/>
    <mergeCell ref="F15:H15"/>
    <mergeCell ref="F16:H16"/>
    <mergeCell ref="F17:H17"/>
    <mergeCell ref="F18:H18"/>
    <mergeCell ref="F19:H19"/>
  </mergeCells>
  <phoneticPr fontId="104"/>
  <printOptions horizontalCentered="1"/>
  <pageMargins left="0.78740157480314965" right="0.78740157480314965" top="0.78740157480314965" bottom="0.39370078740157483" header="0.51181102362204722" footer="0.51181102362204722"/>
  <pageSetup paperSize="9" scale="98" fitToHeight="4" orientation="portrait"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FF0000"/>
  </sheetPr>
  <dimension ref="A1:M50"/>
  <sheetViews>
    <sheetView workbookViewId="0">
      <selection activeCell="E8" sqref="E8"/>
    </sheetView>
  </sheetViews>
  <sheetFormatPr defaultColWidth="9" defaultRowHeight="13.5" x14ac:dyDescent="0.15"/>
  <cols>
    <col min="1" max="1" width="11.625" style="17" bestFit="1" customWidth="1"/>
    <col min="2" max="2" width="18.375" style="17" customWidth="1"/>
    <col min="3" max="3" width="16.125" style="17" customWidth="1"/>
    <col min="4" max="6" width="9" style="17" customWidth="1"/>
    <col min="7" max="7" width="9" style="17"/>
    <col min="8" max="8" width="18.375" style="17" bestFit="1" customWidth="1"/>
    <col min="9" max="9" width="19.625" style="17" bestFit="1" customWidth="1"/>
    <col min="10" max="10" width="9" style="17"/>
    <col min="11" max="11" width="14.375" style="17" bestFit="1" customWidth="1"/>
    <col min="12" max="12" width="17.5" style="17" bestFit="1" customWidth="1"/>
    <col min="13" max="16384" width="9" style="17"/>
  </cols>
  <sheetData>
    <row r="1" spans="1:13" ht="25.5" customHeight="1" x14ac:dyDescent="0.15">
      <c r="C1" s="172" t="s">
        <v>7</v>
      </c>
      <c r="D1" s="17" t="s">
        <v>595</v>
      </c>
    </row>
    <row r="2" spans="1:13" x14ac:dyDescent="0.15">
      <c r="A2" s="17" t="s">
        <v>13</v>
      </c>
      <c r="B2" s="17" t="s">
        <v>75</v>
      </c>
      <c r="C2" s="309">
        <v>0</v>
      </c>
      <c r="D2" s="17">
        <v>4000</v>
      </c>
      <c r="H2" s="17" t="s">
        <v>239</v>
      </c>
    </row>
    <row r="3" spans="1:13" ht="21" x14ac:dyDescent="0.2">
      <c r="A3" s="17" t="s">
        <v>489</v>
      </c>
      <c r="B3" s="17" t="s">
        <v>76</v>
      </c>
      <c r="C3" s="309">
        <v>0</v>
      </c>
      <c r="D3" s="17">
        <v>3000</v>
      </c>
      <c r="H3" s="66" t="s">
        <v>240</v>
      </c>
      <c r="I3" s="66" t="s">
        <v>241</v>
      </c>
      <c r="J3" s="17" t="s">
        <v>325</v>
      </c>
    </row>
    <row r="4" spans="1:13" ht="22.5" x14ac:dyDescent="0.3">
      <c r="A4" s="17" t="s">
        <v>15</v>
      </c>
      <c r="B4" s="17" t="s">
        <v>15</v>
      </c>
      <c r="C4" s="309">
        <v>0</v>
      </c>
      <c r="D4" s="17">
        <v>1500</v>
      </c>
      <c r="H4" s="73" t="s">
        <v>242</v>
      </c>
      <c r="I4" s="74" t="s">
        <v>326</v>
      </c>
      <c r="K4" s="69" t="s">
        <v>242</v>
      </c>
      <c r="L4" s="69" t="s">
        <v>242</v>
      </c>
      <c r="M4" s="17" t="s">
        <v>324</v>
      </c>
    </row>
    <row r="5" spans="1:13" ht="22.5" x14ac:dyDescent="0.3">
      <c r="H5" s="73" t="s">
        <v>243</v>
      </c>
      <c r="I5" s="74" t="s">
        <v>326</v>
      </c>
      <c r="K5" s="69" t="s">
        <v>243</v>
      </c>
      <c r="L5" s="70" t="s">
        <v>289</v>
      </c>
    </row>
    <row r="6" spans="1:13" ht="22.5" x14ac:dyDescent="0.3">
      <c r="B6" s="17" t="s">
        <v>92</v>
      </c>
      <c r="D6" s="173" t="s">
        <v>9</v>
      </c>
      <c r="H6" s="73" t="s">
        <v>244</v>
      </c>
      <c r="I6" s="74" t="s">
        <v>326</v>
      </c>
      <c r="K6" s="69" t="s">
        <v>244</v>
      </c>
      <c r="L6" s="70" t="s">
        <v>289</v>
      </c>
    </row>
    <row r="7" spans="1:13" ht="22.5" x14ac:dyDescent="0.3">
      <c r="D7" s="17" t="s">
        <v>5</v>
      </c>
      <c r="E7" s="17" t="s">
        <v>93</v>
      </c>
      <c r="H7" s="73" t="s">
        <v>245</v>
      </c>
      <c r="I7" s="74" t="s">
        <v>326</v>
      </c>
      <c r="K7" s="69" t="s">
        <v>245</v>
      </c>
      <c r="L7" s="70" t="s">
        <v>289</v>
      </c>
    </row>
    <row r="8" spans="1:13" ht="22.5" x14ac:dyDescent="0.3">
      <c r="C8" s="17" t="s">
        <v>75</v>
      </c>
      <c r="D8" s="304">
        <v>8000</v>
      </c>
      <c r="E8" s="306">
        <v>8000</v>
      </c>
      <c r="H8" s="73" t="s">
        <v>246</v>
      </c>
      <c r="I8" s="74" t="s">
        <v>326</v>
      </c>
      <c r="K8" s="69" t="s">
        <v>246</v>
      </c>
      <c r="L8" s="70" t="s">
        <v>289</v>
      </c>
    </row>
    <row r="9" spans="1:13" ht="22.5" x14ac:dyDescent="0.3">
      <c r="C9" s="17" t="s">
        <v>76</v>
      </c>
      <c r="D9" s="18">
        <v>0</v>
      </c>
      <c r="E9" s="307">
        <v>8000</v>
      </c>
      <c r="H9" s="73" t="s">
        <v>247</v>
      </c>
      <c r="I9" s="74" t="s">
        <v>326</v>
      </c>
      <c r="K9" s="69" t="s">
        <v>247</v>
      </c>
      <c r="L9" s="70" t="s">
        <v>289</v>
      </c>
    </row>
    <row r="10" spans="1:13" ht="22.5" x14ac:dyDescent="0.3">
      <c r="C10" s="17" t="s">
        <v>15</v>
      </c>
      <c r="D10" s="305">
        <v>5000</v>
      </c>
      <c r="E10" s="308">
        <v>5000</v>
      </c>
      <c r="H10" s="73" t="s">
        <v>248</v>
      </c>
      <c r="I10" s="74" t="s">
        <v>326</v>
      </c>
      <c r="K10" s="69" t="s">
        <v>248</v>
      </c>
      <c r="L10" s="70" t="s">
        <v>289</v>
      </c>
    </row>
    <row r="11" spans="1:13" ht="22.5" x14ac:dyDescent="0.3">
      <c r="H11" s="79" t="s">
        <v>249</v>
      </c>
      <c r="I11" s="80" t="s">
        <v>290</v>
      </c>
      <c r="K11" s="69" t="s">
        <v>249</v>
      </c>
      <c r="L11" s="70" t="s">
        <v>290</v>
      </c>
    </row>
    <row r="12" spans="1:13" ht="22.5" x14ac:dyDescent="0.3">
      <c r="H12" s="79" t="s">
        <v>250</v>
      </c>
      <c r="I12" s="80" t="s">
        <v>290</v>
      </c>
      <c r="K12" s="69" t="s">
        <v>250</v>
      </c>
      <c r="L12" s="70" t="s">
        <v>290</v>
      </c>
    </row>
    <row r="13" spans="1:13" ht="22.5" x14ac:dyDescent="0.3">
      <c r="H13" s="79" t="s">
        <v>251</v>
      </c>
      <c r="I13" s="80" t="s">
        <v>290</v>
      </c>
      <c r="K13" s="69" t="s">
        <v>251</v>
      </c>
      <c r="L13" s="70" t="s">
        <v>290</v>
      </c>
    </row>
    <row r="14" spans="1:13" ht="22.5" x14ac:dyDescent="0.3">
      <c r="H14" s="79" t="s">
        <v>252</v>
      </c>
      <c r="I14" s="80" t="s">
        <v>290</v>
      </c>
      <c r="K14" s="69" t="s">
        <v>252</v>
      </c>
      <c r="L14" s="70" t="s">
        <v>290</v>
      </c>
    </row>
    <row r="15" spans="1:13" ht="22.5" x14ac:dyDescent="0.3">
      <c r="C15" s="355" t="s">
        <v>596</v>
      </c>
      <c r="D15" s="355"/>
      <c r="E15" s="355"/>
      <c r="H15" s="79" t="s">
        <v>253</v>
      </c>
      <c r="I15" s="80" t="s">
        <v>290</v>
      </c>
      <c r="K15" s="69" t="s">
        <v>253</v>
      </c>
      <c r="L15" s="70" t="s">
        <v>290</v>
      </c>
    </row>
    <row r="16" spans="1:13" ht="22.5" x14ac:dyDescent="0.3">
      <c r="C16" s="355"/>
      <c r="D16" s="355" t="s">
        <v>5</v>
      </c>
      <c r="E16" s="355" t="s">
        <v>597</v>
      </c>
      <c r="H16" s="79" t="s">
        <v>254</v>
      </c>
      <c r="I16" s="80" t="s">
        <v>290</v>
      </c>
      <c r="K16" s="69" t="s">
        <v>254</v>
      </c>
      <c r="L16" s="70" t="s">
        <v>290</v>
      </c>
    </row>
    <row r="17" spans="3:12" ht="22.5" x14ac:dyDescent="0.3">
      <c r="C17" s="355" t="s">
        <v>75</v>
      </c>
      <c r="D17" s="355">
        <v>5000</v>
      </c>
      <c r="E17" s="355">
        <v>4500</v>
      </c>
      <c r="H17" s="79" t="s">
        <v>255</v>
      </c>
      <c r="I17" s="80" t="s">
        <v>290</v>
      </c>
      <c r="K17" s="69" t="s">
        <v>255</v>
      </c>
      <c r="L17" s="70" t="s">
        <v>290</v>
      </c>
    </row>
    <row r="18" spans="3:12" ht="22.5" x14ac:dyDescent="0.3">
      <c r="C18" s="355" t="s">
        <v>76</v>
      </c>
      <c r="D18" s="355">
        <v>0</v>
      </c>
      <c r="E18" s="355">
        <v>4500</v>
      </c>
      <c r="H18" s="79" t="s">
        <v>260</v>
      </c>
      <c r="I18" s="80" t="s">
        <v>290</v>
      </c>
      <c r="K18" s="69" t="s">
        <v>256</v>
      </c>
      <c r="L18" s="70" t="s">
        <v>291</v>
      </c>
    </row>
    <row r="19" spans="3:12" ht="22.5" x14ac:dyDescent="0.3">
      <c r="C19" s="355" t="s">
        <v>15</v>
      </c>
      <c r="D19" s="355">
        <v>4000</v>
      </c>
      <c r="E19" s="355">
        <v>3500</v>
      </c>
      <c r="H19" s="77" t="s">
        <v>261</v>
      </c>
      <c r="I19" s="78" t="s">
        <v>332</v>
      </c>
      <c r="K19" s="69" t="s">
        <v>257</v>
      </c>
      <c r="L19" s="70" t="s">
        <v>291</v>
      </c>
    </row>
    <row r="20" spans="3:12" ht="22.5" x14ac:dyDescent="0.3">
      <c r="H20" s="77" t="s">
        <v>256</v>
      </c>
      <c r="I20" s="78" t="s">
        <v>332</v>
      </c>
      <c r="K20" s="69" t="s">
        <v>258</v>
      </c>
      <c r="L20" s="70" t="s">
        <v>291</v>
      </c>
    </row>
    <row r="21" spans="3:12" ht="22.5" x14ac:dyDescent="0.3">
      <c r="H21" s="77" t="s">
        <v>257</v>
      </c>
      <c r="I21" s="78" t="s">
        <v>332</v>
      </c>
      <c r="K21" s="69" t="s">
        <v>259</v>
      </c>
      <c r="L21" s="70" t="s">
        <v>291</v>
      </c>
    </row>
    <row r="22" spans="3:12" ht="22.5" x14ac:dyDescent="0.3">
      <c r="H22" s="77" t="s">
        <v>258</v>
      </c>
      <c r="I22" s="78" t="s">
        <v>332</v>
      </c>
      <c r="K22" s="69" t="s">
        <v>260</v>
      </c>
      <c r="L22" s="70" t="s">
        <v>291</v>
      </c>
    </row>
    <row r="23" spans="3:12" ht="22.5" x14ac:dyDescent="0.3">
      <c r="H23" s="77" t="s">
        <v>259</v>
      </c>
      <c r="I23" s="78" t="s">
        <v>332</v>
      </c>
      <c r="K23" s="69" t="s">
        <v>261</v>
      </c>
      <c r="L23" s="70" t="s">
        <v>291</v>
      </c>
    </row>
    <row r="24" spans="3:12" ht="22.5" x14ac:dyDescent="0.3">
      <c r="H24" s="72" t="s">
        <v>263</v>
      </c>
      <c r="I24" s="81" t="s">
        <v>327</v>
      </c>
      <c r="K24" s="69" t="s">
        <v>262</v>
      </c>
      <c r="L24" s="70" t="s">
        <v>291</v>
      </c>
    </row>
    <row r="25" spans="3:12" ht="22.5" x14ac:dyDescent="0.3">
      <c r="H25" s="72" t="s">
        <v>264</v>
      </c>
      <c r="I25" s="81" t="s">
        <v>327</v>
      </c>
      <c r="K25" s="69" t="s">
        <v>263</v>
      </c>
      <c r="L25" s="70" t="s">
        <v>291</v>
      </c>
    </row>
    <row r="26" spans="3:12" ht="22.5" x14ac:dyDescent="0.3">
      <c r="H26" s="72" t="s">
        <v>265</v>
      </c>
      <c r="I26" s="81" t="s">
        <v>327</v>
      </c>
      <c r="K26" s="69" t="s">
        <v>264</v>
      </c>
      <c r="L26" s="70" t="s">
        <v>291</v>
      </c>
    </row>
    <row r="27" spans="3:12" ht="22.5" x14ac:dyDescent="0.3">
      <c r="H27" s="72" t="s">
        <v>262</v>
      </c>
      <c r="I27" s="81" t="s">
        <v>327</v>
      </c>
      <c r="K27" s="69" t="s">
        <v>265</v>
      </c>
      <c r="L27" s="70" t="s">
        <v>292</v>
      </c>
    </row>
    <row r="28" spans="3:12" ht="22.5" x14ac:dyDescent="0.3">
      <c r="H28" s="82" t="s">
        <v>266</v>
      </c>
      <c r="I28" s="83" t="s">
        <v>328</v>
      </c>
      <c r="K28" s="69" t="s">
        <v>266</v>
      </c>
      <c r="L28" s="70" t="s">
        <v>292</v>
      </c>
    </row>
    <row r="29" spans="3:12" ht="22.5" x14ac:dyDescent="0.3">
      <c r="H29" s="82" t="s">
        <v>267</v>
      </c>
      <c r="I29" s="83" t="s">
        <v>328</v>
      </c>
      <c r="K29" s="69" t="s">
        <v>267</v>
      </c>
      <c r="L29" s="70" t="s">
        <v>292</v>
      </c>
    </row>
    <row r="30" spans="3:12" ht="22.5" x14ac:dyDescent="0.3">
      <c r="H30" s="82" t="s">
        <v>268</v>
      </c>
      <c r="I30" s="83" t="s">
        <v>328</v>
      </c>
      <c r="K30" s="69" t="s">
        <v>268</v>
      </c>
      <c r="L30" s="70" t="s">
        <v>292</v>
      </c>
    </row>
    <row r="31" spans="3:12" ht="22.5" x14ac:dyDescent="0.3">
      <c r="H31" s="82" t="s">
        <v>269</v>
      </c>
      <c r="I31" s="83" t="s">
        <v>328</v>
      </c>
      <c r="K31" s="69" t="s">
        <v>269</v>
      </c>
      <c r="L31" s="70" t="s">
        <v>292</v>
      </c>
    </row>
    <row r="32" spans="3:12" ht="22.5" x14ac:dyDescent="0.3">
      <c r="H32" s="82" t="s">
        <v>270</v>
      </c>
      <c r="I32" s="83" t="s">
        <v>328</v>
      </c>
      <c r="K32" s="69" t="s">
        <v>270</v>
      </c>
      <c r="L32" s="70" t="s">
        <v>292</v>
      </c>
    </row>
    <row r="33" spans="8:12" ht="22.5" x14ac:dyDescent="0.3">
      <c r="H33" s="82" t="s">
        <v>271</v>
      </c>
      <c r="I33" s="83" t="s">
        <v>328</v>
      </c>
      <c r="K33" s="69" t="s">
        <v>271</v>
      </c>
      <c r="L33" s="70" t="s">
        <v>292</v>
      </c>
    </row>
    <row r="34" spans="8:12" ht="22.5" x14ac:dyDescent="0.3">
      <c r="H34" s="75" t="s">
        <v>272</v>
      </c>
      <c r="I34" s="76" t="s">
        <v>329</v>
      </c>
      <c r="K34" s="69" t="s">
        <v>272</v>
      </c>
      <c r="L34" s="70" t="s">
        <v>293</v>
      </c>
    </row>
    <row r="35" spans="8:12" ht="22.5" x14ac:dyDescent="0.3">
      <c r="H35" s="75" t="s">
        <v>273</v>
      </c>
      <c r="I35" s="76" t="s">
        <v>293</v>
      </c>
      <c r="K35" s="69" t="s">
        <v>273</v>
      </c>
      <c r="L35" s="70" t="s">
        <v>293</v>
      </c>
    </row>
    <row r="36" spans="8:12" ht="22.5" x14ac:dyDescent="0.3">
      <c r="H36" s="75" t="s">
        <v>274</v>
      </c>
      <c r="I36" s="76" t="s">
        <v>293</v>
      </c>
      <c r="K36" s="69" t="s">
        <v>274</v>
      </c>
      <c r="L36" s="70" t="s">
        <v>293</v>
      </c>
    </row>
    <row r="37" spans="8:12" ht="22.5" x14ac:dyDescent="0.3">
      <c r="H37" s="75" t="s">
        <v>275</v>
      </c>
      <c r="I37" s="76" t="s">
        <v>293</v>
      </c>
      <c r="K37" s="69" t="s">
        <v>275</v>
      </c>
      <c r="L37" s="70" t="s">
        <v>293</v>
      </c>
    </row>
    <row r="38" spans="8:12" ht="22.5" x14ac:dyDescent="0.3">
      <c r="H38" s="75" t="s">
        <v>276</v>
      </c>
      <c r="I38" s="76" t="s">
        <v>293</v>
      </c>
      <c r="K38" s="69" t="s">
        <v>276</v>
      </c>
      <c r="L38" s="70" t="s">
        <v>293</v>
      </c>
    </row>
    <row r="39" spans="8:12" ht="22.5" x14ac:dyDescent="0.3">
      <c r="H39" s="71" t="s">
        <v>277</v>
      </c>
      <c r="I39" s="84" t="s">
        <v>294</v>
      </c>
      <c r="K39" s="69" t="s">
        <v>277</v>
      </c>
      <c r="L39" s="70" t="s">
        <v>294</v>
      </c>
    </row>
    <row r="40" spans="8:12" ht="22.5" x14ac:dyDescent="0.3">
      <c r="H40" s="71" t="s">
        <v>278</v>
      </c>
      <c r="I40" s="84" t="s">
        <v>294</v>
      </c>
      <c r="K40" s="69" t="s">
        <v>278</v>
      </c>
      <c r="L40" s="70" t="s">
        <v>294</v>
      </c>
    </row>
    <row r="41" spans="8:12" ht="22.5" x14ac:dyDescent="0.3">
      <c r="H41" s="71" t="s">
        <v>279</v>
      </c>
      <c r="I41" s="84" t="s">
        <v>294</v>
      </c>
      <c r="K41" s="69" t="s">
        <v>279</v>
      </c>
      <c r="L41" s="70" t="s">
        <v>294</v>
      </c>
    </row>
    <row r="42" spans="8:12" ht="22.5" x14ac:dyDescent="0.3">
      <c r="H42" s="71" t="s">
        <v>280</v>
      </c>
      <c r="I42" s="84" t="s">
        <v>294</v>
      </c>
      <c r="K42" s="69" t="s">
        <v>280</v>
      </c>
      <c r="L42" s="70" t="s">
        <v>294</v>
      </c>
    </row>
    <row r="43" spans="8:12" ht="22.5" x14ac:dyDescent="0.3">
      <c r="H43" s="85" t="s">
        <v>281</v>
      </c>
      <c r="I43" s="86" t="s">
        <v>331</v>
      </c>
      <c r="K43" s="69" t="s">
        <v>281</v>
      </c>
      <c r="L43" s="70" t="s">
        <v>295</v>
      </c>
    </row>
    <row r="44" spans="8:12" ht="22.5" x14ac:dyDescent="0.3">
      <c r="H44" s="85" t="s">
        <v>282</v>
      </c>
      <c r="I44" s="86" t="s">
        <v>331</v>
      </c>
      <c r="K44" s="69" t="s">
        <v>282</v>
      </c>
      <c r="L44" s="70" t="s">
        <v>295</v>
      </c>
    </row>
    <row r="45" spans="8:12" ht="22.5" x14ac:dyDescent="0.3">
      <c r="H45" s="85" t="s">
        <v>283</v>
      </c>
      <c r="I45" s="86" t="s">
        <v>331</v>
      </c>
      <c r="K45" s="69" t="s">
        <v>283</v>
      </c>
      <c r="L45" s="70" t="s">
        <v>295</v>
      </c>
    </row>
    <row r="46" spans="8:12" ht="22.5" x14ac:dyDescent="0.3">
      <c r="H46" s="85" t="s">
        <v>284</v>
      </c>
      <c r="I46" s="86" t="s">
        <v>331</v>
      </c>
      <c r="K46" s="69" t="s">
        <v>284</v>
      </c>
      <c r="L46" s="70" t="s">
        <v>295</v>
      </c>
    </row>
    <row r="47" spans="8:12" ht="22.5" x14ac:dyDescent="0.3">
      <c r="H47" s="85" t="s">
        <v>285</v>
      </c>
      <c r="I47" s="86" t="s">
        <v>331</v>
      </c>
      <c r="K47" s="69" t="s">
        <v>285</v>
      </c>
      <c r="L47" s="70" t="s">
        <v>295</v>
      </c>
    </row>
    <row r="48" spans="8:12" ht="22.5" x14ac:dyDescent="0.3">
      <c r="H48" s="85" t="s">
        <v>286</v>
      </c>
      <c r="I48" s="86" t="s">
        <v>331</v>
      </c>
      <c r="K48" s="69" t="s">
        <v>286</v>
      </c>
      <c r="L48" s="70" t="s">
        <v>295</v>
      </c>
    </row>
    <row r="49" spans="8:12" ht="22.5" x14ac:dyDescent="0.3">
      <c r="H49" s="85" t="s">
        <v>287</v>
      </c>
      <c r="I49" s="86" t="s">
        <v>331</v>
      </c>
      <c r="K49" s="69" t="s">
        <v>287</v>
      </c>
      <c r="L49" s="70" t="s">
        <v>295</v>
      </c>
    </row>
    <row r="50" spans="8:12" ht="22.5" x14ac:dyDescent="0.3">
      <c r="H50" s="85" t="s">
        <v>288</v>
      </c>
      <c r="I50" s="86" t="s">
        <v>331</v>
      </c>
      <c r="K50" s="69" t="s">
        <v>288</v>
      </c>
      <c r="L50" s="70" t="s">
        <v>295</v>
      </c>
    </row>
  </sheetData>
  <sheetProtection password="FFBB" sheet="1" objects="1" scenario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AL281"/>
  <sheetViews>
    <sheetView showGridLines="0" showRowColHeaders="0" tabSelected="1" zoomScaleNormal="100" zoomScaleSheetLayoutView="100" workbookViewId="0">
      <selection activeCell="C2" sqref="C2"/>
    </sheetView>
  </sheetViews>
  <sheetFormatPr defaultColWidth="1.875" defaultRowHeight="14.25" x14ac:dyDescent="0.15"/>
  <cols>
    <col min="1" max="1" width="9" style="31" customWidth="1"/>
    <col min="2" max="38" width="2.625" style="31" customWidth="1"/>
    <col min="39" max="39" width="4.625" style="31" customWidth="1"/>
    <col min="40" max="255" width="9" style="31" customWidth="1"/>
    <col min="256" max="16384" width="1.875" style="31"/>
  </cols>
  <sheetData>
    <row r="1" spans="3:37" ht="6" customHeight="1" x14ac:dyDescent="0.15"/>
    <row r="2" spans="3:37" s="155" customFormat="1" ht="14.25" customHeight="1" x14ac:dyDescent="0.15">
      <c r="C2" s="155" t="s">
        <v>632</v>
      </c>
    </row>
    <row r="3" spans="3:37" s="155" customFormat="1" ht="14.25" customHeight="1" x14ac:dyDescent="0.15">
      <c r="C3" s="155" t="s">
        <v>522</v>
      </c>
    </row>
    <row r="4" spans="3:37" s="155" customFormat="1" ht="15" customHeight="1" x14ac:dyDescent="0.15"/>
    <row r="5" spans="3:37" s="155" customFormat="1" ht="14.25" customHeight="1" x14ac:dyDescent="0.15">
      <c r="C5" s="155" t="s">
        <v>463</v>
      </c>
    </row>
    <row r="6" spans="3:37" s="155" customFormat="1" ht="14.25" customHeight="1" x14ac:dyDescent="0.15">
      <c r="C6" s="155" t="s">
        <v>464</v>
      </c>
    </row>
    <row r="7" spans="3:37" ht="15" thickBot="1" x14ac:dyDescent="0.2"/>
    <row r="8" spans="3:37" ht="15" customHeight="1" x14ac:dyDescent="0.15">
      <c r="C8" s="227"/>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9"/>
    </row>
    <row r="9" spans="3:37" ht="14.25" hidden="1" customHeight="1" x14ac:dyDescent="0.15">
      <c r="C9" s="230"/>
      <c r="D9" s="515" t="s">
        <v>208</v>
      </c>
      <c r="E9" s="515"/>
      <c r="F9" s="515"/>
      <c r="G9" s="515"/>
      <c r="H9" s="515"/>
      <c r="I9" s="515"/>
      <c r="J9" s="515"/>
      <c r="K9" s="515"/>
      <c r="M9" s="526" t="s">
        <v>232</v>
      </c>
      <c r="N9" s="526"/>
      <c r="O9" s="526"/>
      <c r="P9" s="526"/>
      <c r="Q9" s="526"/>
      <c r="R9" s="526"/>
      <c r="S9" s="526"/>
      <c r="T9" s="526"/>
      <c r="U9" s="526"/>
      <c r="V9" s="526"/>
      <c r="W9" s="526"/>
      <c r="X9" s="526"/>
      <c r="Y9" s="526"/>
      <c r="Z9" s="526"/>
      <c r="AA9" s="526"/>
      <c r="AB9" s="526"/>
      <c r="AC9" s="526"/>
      <c r="AD9" s="526"/>
      <c r="AE9" s="526"/>
      <c r="AF9" s="526"/>
      <c r="AG9" s="526"/>
      <c r="AH9" s="526"/>
      <c r="AI9" s="526"/>
      <c r="AJ9" s="526"/>
      <c r="AK9" s="231"/>
    </row>
    <row r="10" spans="3:37" ht="14.25" customHeight="1" x14ac:dyDescent="0.15">
      <c r="C10" s="232"/>
      <c r="D10" s="515"/>
      <c r="E10" s="515"/>
      <c r="F10" s="515"/>
      <c r="G10" s="515"/>
      <c r="H10" s="515"/>
      <c r="I10" s="515"/>
      <c r="J10" s="515"/>
      <c r="K10" s="515"/>
      <c r="L10" s="33"/>
      <c r="M10" s="526"/>
      <c r="N10" s="526"/>
      <c r="O10" s="526"/>
      <c r="P10" s="526"/>
      <c r="Q10" s="526"/>
      <c r="R10" s="526"/>
      <c r="S10" s="526"/>
      <c r="T10" s="526"/>
      <c r="U10" s="526"/>
      <c r="V10" s="526"/>
      <c r="W10" s="526"/>
      <c r="X10" s="526"/>
      <c r="Y10" s="526"/>
      <c r="Z10" s="526"/>
      <c r="AA10" s="526"/>
      <c r="AB10" s="526"/>
      <c r="AC10" s="526"/>
      <c r="AD10" s="526"/>
      <c r="AE10" s="526"/>
      <c r="AF10" s="526"/>
      <c r="AG10" s="526"/>
      <c r="AH10" s="526"/>
      <c r="AI10" s="526"/>
      <c r="AJ10" s="526"/>
      <c r="AK10" s="231"/>
    </row>
    <row r="11" spans="3:37" ht="14.25" customHeight="1" x14ac:dyDescent="0.15">
      <c r="C11" s="232"/>
      <c r="D11" s="515"/>
      <c r="E11" s="515"/>
      <c r="F11" s="515"/>
      <c r="G11" s="515"/>
      <c r="H11" s="515"/>
      <c r="I11" s="515"/>
      <c r="J11" s="515"/>
      <c r="K11" s="515"/>
      <c r="L11" s="33"/>
      <c r="M11" s="526"/>
      <c r="N11" s="526"/>
      <c r="O11" s="526"/>
      <c r="P11" s="526"/>
      <c r="Q11" s="526"/>
      <c r="R11" s="526"/>
      <c r="S11" s="526"/>
      <c r="T11" s="526"/>
      <c r="U11" s="526"/>
      <c r="V11" s="526"/>
      <c r="W11" s="526"/>
      <c r="X11" s="526"/>
      <c r="Y11" s="526"/>
      <c r="Z11" s="526"/>
      <c r="AA11" s="526"/>
      <c r="AB11" s="526"/>
      <c r="AC11" s="526"/>
      <c r="AD11" s="526"/>
      <c r="AE11" s="526"/>
      <c r="AF11" s="526"/>
      <c r="AG11" s="526"/>
      <c r="AH11" s="526"/>
      <c r="AI11" s="526"/>
      <c r="AJ11" s="526"/>
      <c r="AK11" s="231"/>
    </row>
    <row r="12" spans="3:37" ht="14.25" customHeight="1" x14ac:dyDescent="0.15">
      <c r="C12" s="232"/>
      <c r="D12" s="33"/>
      <c r="E12" s="33"/>
      <c r="F12" s="33"/>
      <c r="G12" s="33"/>
      <c r="H12" s="33"/>
      <c r="I12" s="33"/>
      <c r="J12" s="33"/>
      <c r="K12" s="33"/>
      <c r="L12" s="233" t="s">
        <v>538</v>
      </c>
      <c r="M12" s="233"/>
      <c r="N12" s="233"/>
      <c r="O12" s="234"/>
      <c r="P12" s="234"/>
      <c r="Q12" s="234"/>
      <c r="R12" s="234"/>
      <c r="S12" s="234"/>
      <c r="T12" s="234"/>
      <c r="U12" s="234"/>
      <c r="V12" s="234"/>
      <c r="W12" s="234"/>
      <c r="X12" s="234"/>
      <c r="Y12" s="234"/>
      <c r="Z12" s="234"/>
      <c r="AA12" s="33"/>
      <c r="AB12" s="235"/>
      <c r="AC12" s="235"/>
      <c r="AK12" s="231"/>
    </row>
    <row r="13" spans="3:37" ht="14.25" customHeight="1" x14ac:dyDescent="0.15">
      <c r="C13" s="232"/>
      <c r="D13" s="33"/>
      <c r="E13" s="33"/>
      <c r="F13" s="33"/>
      <c r="G13" s="33"/>
      <c r="H13" s="33"/>
      <c r="I13" s="33"/>
      <c r="J13" s="33"/>
      <c r="K13" s="33"/>
      <c r="L13" s="33"/>
      <c r="M13" s="233" t="s">
        <v>321</v>
      </c>
      <c r="N13" s="233"/>
      <c r="O13" s="234"/>
      <c r="P13" s="234"/>
      <c r="Q13" s="234"/>
      <c r="R13" s="234"/>
      <c r="S13" s="234"/>
      <c r="T13" s="234"/>
      <c r="U13" s="234"/>
      <c r="V13" s="234"/>
      <c r="W13" s="234"/>
      <c r="X13" s="234"/>
      <c r="Y13" s="234"/>
      <c r="Z13" s="234"/>
      <c r="AA13" s="33"/>
      <c r="AB13" s="235"/>
      <c r="AC13" s="235"/>
      <c r="AK13" s="231"/>
    </row>
    <row r="14" spans="3:37" ht="14.25" customHeight="1" x14ac:dyDescent="0.15">
      <c r="C14" s="232"/>
      <c r="D14" s="33"/>
      <c r="E14" s="33"/>
      <c r="F14" s="33"/>
      <c r="G14" s="33"/>
      <c r="H14" s="33"/>
      <c r="I14" s="33"/>
      <c r="J14" s="33"/>
      <c r="K14" s="33"/>
      <c r="L14" s="33"/>
      <c r="M14" s="233" t="s">
        <v>237</v>
      </c>
      <c r="N14" s="233"/>
      <c r="O14" s="234"/>
      <c r="P14" s="234"/>
      <c r="Q14" s="234"/>
      <c r="R14" s="234"/>
      <c r="S14" s="234"/>
      <c r="T14" s="234"/>
      <c r="U14" s="234"/>
      <c r="V14" s="234"/>
      <c r="W14" s="234"/>
      <c r="X14" s="234"/>
      <c r="Y14" s="234"/>
      <c r="Z14" s="234"/>
      <c r="AA14" s="33"/>
      <c r="AB14" s="235"/>
      <c r="AC14" s="235"/>
      <c r="AK14" s="231"/>
    </row>
    <row r="15" spans="3:37" ht="14.25" customHeight="1" x14ac:dyDescent="0.15">
      <c r="C15" s="232"/>
      <c r="D15" s="515" t="s">
        <v>121</v>
      </c>
      <c r="E15" s="515"/>
      <c r="F15" s="515"/>
      <c r="G15" s="515"/>
      <c r="H15" s="515"/>
      <c r="I15" s="515"/>
      <c r="J15" s="515"/>
      <c r="K15" s="515"/>
      <c r="L15" s="33"/>
      <c r="M15" s="516" t="s">
        <v>633</v>
      </c>
      <c r="N15" s="516"/>
      <c r="O15" s="516"/>
      <c r="P15" s="516"/>
      <c r="Q15" s="516"/>
      <c r="R15" s="516"/>
      <c r="S15" s="516"/>
      <c r="T15" s="516"/>
      <c r="U15" s="516"/>
      <c r="V15" s="516"/>
      <c r="W15" s="516"/>
      <c r="X15" s="516"/>
      <c r="Y15" s="516"/>
      <c r="Z15" s="516"/>
      <c r="AA15" s="516"/>
      <c r="AB15" s="516"/>
      <c r="AC15" s="516"/>
      <c r="AD15" s="516"/>
      <c r="AE15" s="516"/>
      <c r="AF15" s="516"/>
      <c r="AG15" s="516"/>
      <c r="AH15" s="516"/>
      <c r="AI15" s="516"/>
      <c r="AJ15" s="516"/>
      <c r="AK15" s="231"/>
    </row>
    <row r="16" spans="3:37" ht="14.25" customHeight="1" x14ac:dyDescent="0.15">
      <c r="C16" s="232"/>
      <c r="D16" s="515"/>
      <c r="E16" s="515"/>
      <c r="F16" s="515"/>
      <c r="G16" s="515"/>
      <c r="H16" s="515"/>
      <c r="I16" s="515"/>
      <c r="J16" s="515"/>
      <c r="K16" s="515"/>
      <c r="L16" s="33"/>
      <c r="M16" s="516"/>
      <c r="N16" s="516"/>
      <c r="O16" s="516"/>
      <c r="P16" s="516"/>
      <c r="Q16" s="516"/>
      <c r="R16" s="516"/>
      <c r="S16" s="516"/>
      <c r="T16" s="516"/>
      <c r="U16" s="516"/>
      <c r="V16" s="516"/>
      <c r="W16" s="516"/>
      <c r="X16" s="516"/>
      <c r="Y16" s="516"/>
      <c r="Z16" s="516"/>
      <c r="AA16" s="516"/>
      <c r="AB16" s="516"/>
      <c r="AC16" s="516"/>
      <c r="AD16" s="516"/>
      <c r="AE16" s="516"/>
      <c r="AF16" s="516"/>
      <c r="AG16" s="516"/>
      <c r="AH16" s="516"/>
      <c r="AI16" s="516"/>
      <c r="AJ16" s="516"/>
      <c r="AK16" s="231"/>
    </row>
    <row r="17" spans="2:38" ht="14.25" hidden="1" customHeight="1" x14ac:dyDescent="0.15">
      <c r="C17" s="232"/>
      <c r="D17" s="515"/>
      <c r="E17" s="515"/>
      <c r="F17" s="515"/>
      <c r="G17" s="515"/>
      <c r="H17" s="515"/>
      <c r="I17" s="515"/>
      <c r="J17" s="515"/>
      <c r="K17" s="515"/>
      <c r="L17" s="33"/>
      <c r="M17" s="516"/>
      <c r="N17" s="516"/>
      <c r="O17" s="516"/>
      <c r="P17" s="516"/>
      <c r="Q17" s="516"/>
      <c r="R17" s="516"/>
      <c r="S17" s="516"/>
      <c r="T17" s="516"/>
      <c r="U17" s="516"/>
      <c r="V17" s="516"/>
      <c r="W17" s="516"/>
      <c r="X17" s="516"/>
      <c r="Y17" s="516"/>
      <c r="Z17" s="516"/>
      <c r="AA17" s="516"/>
      <c r="AB17" s="516"/>
      <c r="AC17" s="516"/>
      <c r="AD17" s="516"/>
      <c r="AE17" s="516"/>
      <c r="AF17" s="516"/>
      <c r="AG17" s="516"/>
      <c r="AH17" s="516"/>
      <c r="AI17" s="516"/>
      <c r="AJ17" s="516"/>
      <c r="AK17" s="231"/>
    </row>
    <row r="18" spans="2:38" ht="15" thickBot="1" x14ac:dyDescent="0.2">
      <c r="C18" s="236"/>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8"/>
    </row>
    <row r="19" spans="2:38" ht="15" thickBot="1" x14ac:dyDescent="0.2">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row>
    <row r="20" spans="2:38" s="34" customFormat="1" ht="24" customHeight="1" thickTop="1" thickBot="1" x14ac:dyDescent="0.2">
      <c r="B20" s="500" t="s">
        <v>201</v>
      </c>
      <c r="C20" s="501"/>
      <c r="D20" s="501"/>
      <c r="E20" s="501"/>
      <c r="F20" s="501"/>
      <c r="G20" s="501"/>
      <c r="H20" s="501"/>
      <c r="I20" s="501"/>
      <c r="J20" s="501"/>
      <c r="K20" s="501"/>
      <c r="L20" s="501"/>
      <c r="M20" s="501"/>
      <c r="N20" s="501"/>
      <c r="O20" s="501"/>
      <c r="P20" s="501"/>
      <c r="Q20" s="501"/>
      <c r="R20" s="501"/>
      <c r="S20" s="501"/>
      <c r="T20" s="501"/>
      <c r="U20" s="501"/>
      <c r="V20" s="501"/>
      <c r="W20" s="501"/>
      <c r="X20" s="501"/>
      <c r="Y20" s="501"/>
      <c r="Z20" s="501"/>
      <c r="AA20" s="501"/>
      <c r="AB20" s="501"/>
      <c r="AC20" s="501"/>
      <c r="AD20" s="501"/>
      <c r="AE20" s="501"/>
      <c r="AF20" s="501"/>
      <c r="AG20" s="501"/>
      <c r="AH20" s="501"/>
      <c r="AI20" s="501"/>
      <c r="AJ20" s="501"/>
      <c r="AK20" s="501"/>
      <c r="AL20" s="502"/>
    </row>
    <row r="21" spans="2:38" ht="14.25" customHeight="1" thickTop="1" x14ac:dyDescent="0.15">
      <c r="B21" s="156"/>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8"/>
    </row>
    <row r="22" spans="2:38" x14ac:dyDescent="0.15">
      <c r="B22" s="159"/>
      <c r="C22" s="165" t="s">
        <v>465</v>
      </c>
      <c r="D22" s="165" t="s">
        <v>498</v>
      </c>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1"/>
    </row>
    <row r="23" spans="2:38" x14ac:dyDescent="0.15">
      <c r="B23" s="159"/>
      <c r="C23" s="165"/>
      <c r="D23" s="165"/>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1"/>
    </row>
    <row r="24" spans="2:38" hidden="1" x14ac:dyDescent="0.15">
      <c r="B24" s="159"/>
      <c r="C24" s="165"/>
      <c r="D24" s="160" t="s">
        <v>563</v>
      </c>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1"/>
    </row>
    <row r="25" spans="2:38" hidden="1" x14ac:dyDescent="0.15">
      <c r="B25" s="159"/>
      <c r="C25" s="165"/>
      <c r="D25" s="165"/>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1"/>
    </row>
    <row r="26" spans="2:38" hidden="1" x14ac:dyDescent="0.15">
      <c r="B26" s="159"/>
      <c r="C26" s="165"/>
      <c r="D26" s="165" t="s">
        <v>564</v>
      </c>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1"/>
    </row>
    <row r="27" spans="2:38" hidden="1" x14ac:dyDescent="0.15">
      <c r="B27" s="159"/>
      <c r="C27" s="165"/>
      <c r="D27" s="165"/>
      <c r="E27" s="165" t="s">
        <v>565</v>
      </c>
      <c r="F27" s="313"/>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1"/>
    </row>
    <row r="28" spans="2:38" hidden="1" x14ac:dyDescent="0.15">
      <c r="B28" s="159"/>
      <c r="C28" s="165"/>
      <c r="D28" s="165"/>
      <c r="E28" s="165" t="s">
        <v>566</v>
      </c>
      <c r="F28" s="313"/>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1"/>
    </row>
    <row r="29" spans="2:38" hidden="1" x14ac:dyDescent="0.15">
      <c r="B29" s="159"/>
      <c r="C29" s="165"/>
      <c r="D29" s="313"/>
      <c r="E29" s="313"/>
      <c r="F29" s="313"/>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1"/>
    </row>
    <row r="30" spans="2:38" x14ac:dyDescent="0.15">
      <c r="B30" s="159"/>
      <c r="C30" s="165"/>
      <c r="D30" s="165" t="s">
        <v>567</v>
      </c>
      <c r="E30" s="165"/>
      <c r="F30" s="313"/>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1"/>
    </row>
    <row r="31" spans="2:38" x14ac:dyDescent="0.15">
      <c r="B31" s="159"/>
      <c r="C31" s="165"/>
      <c r="D31" s="165" t="s">
        <v>568</v>
      </c>
      <c r="E31" s="165"/>
      <c r="F31" s="313"/>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1"/>
    </row>
    <row r="32" spans="2:38" x14ac:dyDescent="0.15">
      <c r="B32" s="159"/>
      <c r="C32" s="165"/>
      <c r="D32" s="313"/>
      <c r="E32" s="160" t="s">
        <v>637</v>
      </c>
      <c r="F32" s="313"/>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1"/>
    </row>
    <row r="33" spans="2:38" x14ac:dyDescent="0.15">
      <c r="B33" s="159"/>
      <c r="C33" s="165"/>
      <c r="D33" s="313"/>
      <c r="E33" s="160" t="s">
        <v>590</v>
      </c>
      <c r="F33" s="313"/>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1"/>
    </row>
    <row r="34" spans="2:38" x14ac:dyDescent="0.15">
      <c r="B34" s="159"/>
      <c r="C34" s="165"/>
      <c r="D34" s="165"/>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1"/>
    </row>
    <row r="35" spans="2:38" x14ac:dyDescent="0.15">
      <c r="B35" s="159"/>
      <c r="C35" s="165" t="s">
        <v>499</v>
      </c>
      <c r="D35" s="165" t="s">
        <v>607</v>
      </c>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1"/>
    </row>
    <row r="36" spans="2:38" x14ac:dyDescent="0.15">
      <c r="B36" s="159"/>
      <c r="C36" s="313"/>
      <c r="D36" s="165"/>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1"/>
    </row>
    <row r="37" spans="2:38" x14ac:dyDescent="0.15">
      <c r="B37" s="159"/>
      <c r="C37" s="165"/>
      <c r="D37" s="165"/>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1"/>
    </row>
    <row r="38" spans="2:38" x14ac:dyDescent="0.15">
      <c r="B38" s="159"/>
      <c r="C38" s="165" t="s">
        <v>500</v>
      </c>
      <c r="D38" s="165" t="s">
        <v>588</v>
      </c>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1"/>
    </row>
    <row r="39" spans="2:38" x14ac:dyDescent="0.15">
      <c r="B39" s="159"/>
      <c r="C39" s="165"/>
      <c r="D39" s="165" t="s">
        <v>589</v>
      </c>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1"/>
    </row>
    <row r="40" spans="2:38" x14ac:dyDescent="0.15">
      <c r="B40" s="159"/>
      <c r="C40" s="165"/>
      <c r="D40" s="165"/>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1"/>
    </row>
    <row r="41" spans="2:38" x14ac:dyDescent="0.15">
      <c r="B41" s="159"/>
      <c r="C41" s="165" t="s">
        <v>599</v>
      </c>
      <c r="D41" s="160" t="s">
        <v>600</v>
      </c>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1"/>
    </row>
    <row r="42" spans="2:38" x14ac:dyDescent="0.15">
      <c r="B42" s="159"/>
      <c r="C42" s="165"/>
      <c r="D42" s="160" t="s">
        <v>601</v>
      </c>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1"/>
    </row>
    <row r="43" spans="2:38" x14ac:dyDescent="0.15">
      <c r="B43" s="159"/>
      <c r="C43" s="165"/>
      <c r="D43" s="165"/>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1"/>
    </row>
    <row r="44" spans="2:38" x14ac:dyDescent="0.15">
      <c r="B44" s="159"/>
      <c r="C44" s="165" t="s">
        <v>602</v>
      </c>
      <c r="D44" s="160" t="s">
        <v>608</v>
      </c>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1"/>
    </row>
    <row r="45" spans="2:38" x14ac:dyDescent="0.15">
      <c r="B45" s="159"/>
      <c r="C45" s="165"/>
      <c r="D45" s="165"/>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1"/>
    </row>
    <row r="46" spans="2:38" ht="14.25" customHeight="1" thickBot="1" x14ac:dyDescent="0.2">
      <c r="B46" s="16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4"/>
    </row>
    <row r="47" spans="2:38" ht="15" customHeight="1" thickTop="1" thickBot="1" x14ac:dyDescent="0.2">
      <c r="B47" s="347"/>
      <c r="C47" s="347"/>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347"/>
      <c r="AH47" s="347"/>
      <c r="AI47" s="347"/>
      <c r="AJ47" s="347"/>
      <c r="AK47" s="347"/>
      <c r="AL47" s="347"/>
    </row>
    <row r="48" spans="2:38" s="34" customFormat="1" ht="24" customHeight="1" thickTop="1" thickBot="1" x14ac:dyDescent="0.2">
      <c r="B48" s="500" t="s">
        <v>639</v>
      </c>
      <c r="C48" s="501"/>
      <c r="D48" s="501"/>
      <c r="E48" s="501"/>
      <c r="F48" s="501"/>
      <c r="G48" s="501"/>
      <c r="H48" s="501"/>
      <c r="I48" s="501"/>
      <c r="J48" s="501"/>
      <c r="K48" s="501"/>
      <c r="L48" s="501"/>
      <c r="M48" s="501"/>
      <c r="N48" s="501"/>
      <c r="O48" s="501"/>
      <c r="P48" s="501"/>
      <c r="Q48" s="501"/>
      <c r="R48" s="501"/>
      <c r="S48" s="501"/>
      <c r="T48" s="501"/>
      <c r="U48" s="501"/>
      <c r="V48" s="501"/>
      <c r="W48" s="501"/>
      <c r="X48" s="501"/>
      <c r="Y48" s="501"/>
      <c r="Z48" s="501"/>
      <c r="AA48" s="501"/>
      <c r="AB48" s="501"/>
      <c r="AC48" s="501"/>
      <c r="AD48" s="501"/>
      <c r="AE48" s="501"/>
      <c r="AF48" s="501"/>
      <c r="AG48" s="501"/>
      <c r="AH48" s="501"/>
      <c r="AI48" s="501"/>
      <c r="AJ48" s="501"/>
      <c r="AK48" s="501"/>
      <c r="AL48" s="502"/>
    </row>
    <row r="49" spans="2:38" ht="14.25" customHeight="1" thickTop="1" x14ac:dyDescent="0.15">
      <c r="B49" s="156"/>
      <c r="C49" s="157" t="s">
        <v>640</v>
      </c>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8"/>
    </row>
    <row r="50" spans="2:38" ht="14.25" customHeight="1" x14ac:dyDescent="0.15">
      <c r="B50" s="159"/>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1"/>
    </row>
    <row r="51" spans="2:38" ht="14.25" customHeight="1" x14ac:dyDescent="0.15">
      <c r="B51" s="159"/>
      <c r="C51" s="165" t="s">
        <v>641</v>
      </c>
      <c r="D51" s="348" t="s">
        <v>642</v>
      </c>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1"/>
    </row>
    <row r="52" spans="2:38" ht="14.25" customHeight="1" x14ac:dyDescent="0.15">
      <c r="B52" s="159"/>
      <c r="C52" s="313"/>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1"/>
    </row>
    <row r="53" spans="2:38" ht="14.25" customHeight="1" x14ac:dyDescent="0.15">
      <c r="B53" s="159"/>
      <c r="C53" s="165" t="s">
        <v>643</v>
      </c>
      <c r="D53" s="160" t="s">
        <v>644</v>
      </c>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1"/>
    </row>
    <row r="54" spans="2:38" ht="14.25" customHeight="1" x14ac:dyDescent="0.15">
      <c r="B54" s="159"/>
      <c r="C54" s="165"/>
      <c r="D54" s="165"/>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1"/>
    </row>
    <row r="55" spans="2:38" ht="14.25" customHeight="1" x14ac:dyDescent="0.15">
      <c r="B55" s="159"/>
      <c r="C55" s="165" t="s">
        <v>500</v>
      </c>
      <c r="D55" s="160" t="s">
        <v>645</v>
      </c>
      <c r="E55" s="165"/>
      <c r="F55" s="313"/>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1"/>
    </row>
    <row r="56" spans="2:38" ht="14.25" customHeight="1" x14ac:dyDescent="0.15">
      <c r="B56" s="159"/>
      <c r="C56" s="165"/>
      <c r="D56" s="348"/>
      <c r="E56" s="165"/>
      <c r="F56" s="313"/>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1"/>
    </row>
    <row r="57" spans="2:38" ht="14.25" customHeight="1" x14ac:dyDescent="0.15">
      <c r="B57" s="159"/>
      <c r="C57" s="165" t="s">
        <v>599</v>
      </c>
      <c r="D57" s="160" t="s">
        <v>646</v>
      </c>
      <c r="E57" s="313"/>
      <c r="F57" s="313"/>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1"/>
    </row>
    <row r="58" spans="2:38" ht="14.25" customHeight="1" x14ac:dyDescent="0.15">
      <c r="B58" s="159"/>
      <c r="C58" s="165"/>
      <c r="D58" s="348"/>
      <c r="E58" s="165"/>
      <c r="F58" s="313"/>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1"/>
    </row>
    <row r="59" spans="2:38" ht="14.25" customHeight="1" x14ac:dyDescent="0.15">
      <c r="B59" s="159"/>
      <c r="C59" s="165" t="s">
        <v>602</v>
      </c>
      <c r="D59" s="160" t="s">
        <v>647</v>
      </c>
      <c r="E59" s="165"/>
      <c r="F59" s="313"/>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1"/>
    </row>
    <row r="60" spans="2:38" ht="14.25" customHeight="1" x14ac:dyDescent="0.15">
      <c r="B60" s="159"/>
      <c r="C60" s="165"/>
      <c r="D60" s="165"/>
      <c r="E60" s="165"/>
      <c r="F60" s="313"/>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1"/>
    </row>
    <row r="61" spans="2:38" ht="14.25" customHeight="1" x14ac:dyDescent="0.15">
      <c r="B61" s="159"/>
      <c r="C61" s="165" t="s">
        <v>648</v>
      </c>
      <c r="D61" s="160" t="s">
        <v>649</v>
      </c>
      <c r="E61" s="165"/>
      <c r="F61" s="313"/>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1"/>
    </row>
    <row r="62" spans="2:38" ht="14.25" customHeight="1" x14ac:dyDescent="0.15">
      <c r="B62" s="159"/>
      <c r="C62" s="165"/>
      <c r="D62" s="160" t="s">
        <v>650</v>
      </c>
      <c r="E62" s="165"/>
      <c r="F62" s="313"/>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0"/>
      <c r="AL62" s="161"/>
    </row>
    <row r="63" spans="2:38" ht="14.25" customHeight="1" x14ac:dyDescent="0.15">
      <c r="B63" s="159"/>
      <c r="C63" s="160"/>
      <c r="D63" s="160"/>
      <c r="E63" s="165"/>
      <c r="F63" s="313"/>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1"/>
    </row>
    <row r="64" spans="2:38" ht="14.25" customHeight="1" x14ac:dyDescent="0.15">
      <c r="B64" s="159"/>
      <c r="C64" s="165" t="s">
        <v>651</v>
      </c>
      <c r="D64" s="160" t="s">
        <v>652</v>
      </c>
      <c r="E64" s="165"/>
      <c r="F64" s="313"/>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1"/>
    </row>
    <row r="65" spans="2:38" ht="14.25" customHeight="1" x14ac:dyDescent="0.15">
      <c r="B65" s="159"/>
      <c r="C65" s="160"/>
      <c r="D65" s="165"/>
      <c r="E65" s="165"/>
      <c r="F65" s="313"/>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1"/>
    </row>
    <row r="66" spans="2:38" ht="14.25" customHeight="1" x14ac:dyDescent="0.15">
      <c r="B66" s="159"/>
      <c r="C66" s="165" t="s">
        <v>653</v>
      </c>
      <c r="D66" s="160" t="s">
        <v>654</v>
      </c>
      <c r="E66" s="165"/>
      <c r="F66" s="313"/>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1"/>
    </row>
    <row r="67" spans="2:38" ht="14.25" customHeight="1" x14ac:dyDescent="0.15">
      <c r="B67" s="159"/>
      <c r="C67" s="165"/>
      <c r="D67" s="160" t="s">
        <v>655</v>
      </c>
      <c r="E67" s="165"/>
      <c r="F67" s="313"/>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1"/>
    </row>
    <row r="68" spans="2:38" ht="14.25" customHeight="1" x14ac:dyDescent="0.15">
      <c r="B68" s="159"/>
      <c r="C68" s="160"/>
      <c r="D68" s="160" t="s">
        <v>656</v>
      </c>
      <c r="E68" s="165"/>
      <c r="F68" s="313"/>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c r="AF68" s="160"/>
      <c r="AG68" s="160"/>
      <c r="AH68" s="160"/>
      <c r="AI68" s="160"/>
      <c r="AJ68" s="160"/>
      <c r="AK68" s="160"/>
      <c r="AL68" s="161"/>
    </row>
    <row r="69" spans="2:38" ht="14.25" hidden="1" customHeight="1" x14ac:dyDescent="0.15">
      <c r="B69" s="159"/>
      <c r="C69" s="165"/>
      <c r="D69" s="165"/>
      <c r="E69" s="165"/>
      <c r="F69" s="313"/>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c r="AF69" s="160"/>
      <c r="AG69" s="160"/>
      <c r="AH69" s="160"/>
      <c r="AI69" s="160"/>
      <c r="AJ69" s="160"/>
      <c r="AK69" s="160"/>
      <c r="AL69" s="161"/>
    </row>
    <row r="70" spans="2:38" ht="14.25" hidden="1" customHeight="1" x14ac:dyDescent="0.15">
      <c r="B70" s="159"/>
      <c r="C70" s="313"/>
      <c r="D70" s="313"/>
      <c r="E70" s="165"/>
      <c r="F70" s="313"/>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c r="AG70" s="160"/>
      <c r="AH70" s="160"/>
      <c r="AI70" s="160"/>
      <c r="AJ70" s="160"/>
      <c r="AK70" s="160"/>
      <c r="AL70" s="161"/>
    </row>
    <row r="71" spans="2:38" ht="14.25" customHeight="1" thickBot="1" x14ac:dyDescent="0.2">
      <c r="B71" s="162"/>
      <c r="C71" s="163"/>
      <c r="D71" s="163"/>
      <c r="E71" s="163"/>
      <c r="F71" s="163"/>
      <c r="G71" s="163"/>
      <c r="H71" s="163"/>
      <c r="I71" s="163"/>
      <c r="J71" s="163"/>
      <c r="K71" s="163"/>
      <c r="L71" s="163"/>
      <c r="M71" s="163"/>
      <c r="N71" s="163"/>
      <c r="O71" s="163"/>
      <c r="P71" s="163"/>
      <c r="Q71" s="163"/>
      <c r="R71" s="163"/>
      <c r="S71" s="163"/>
      <c r="T71" s="163"/>
      <c r="U71" s="163"/>
      <c r="V71" s="163"/>
      <c r="W71" s="163"/>
      <c r="X71" s="163"/>
      <c r="Y71" s="163"/>
      <c r="Z71" s="163"/>
      <c r="AA71" s="163"/>
      <c r="AB71" s="163"/>
      <c r="AC71" s="163"/>
      <c r="AD71" s="163"/>
      <c r="AE71" s="163"/>
      <c r="AF71" s="163"/>
      <c r="AG71" s="163"/>
      <c r="AH71" s="163"/>
      <c r="AI71" s="163"/>
      <c r="AJ71" s="163"/>
      <c r="AK71" s="163"/>
      <c r="AL71" s="164"/>
    </row>
    <row r="72" spans="2:38" ht="15" customHeight="1" thickTop="1" thickBot="1" x14ac:dyDescent="0.2"/>
    <row r="73" spans="2:38" s="34" customFormat="1" ht="24" customHeight="1" thickTop="1" thickBot="1" x14ac:dyDescent="0.2">
      <c r="B73" s="500" t="s">
        <v>236</v>
      </c>
      <c r="C73" s="501"/>
      <c r="D73" s="501"/>
      <c r="E73" s="501"/>
      <c r="F73" s="501"/>
      <c r="G73" s="501"/>
      <c r="H73" s="501"/>
      <c r="I73" s="501"/>
      <c r="J73" s="501"/>
      <c r="K73" s="501"/>
      <c r="L73" s="501"/>
      <c r="M73" s="501"/>
      <c r="N73" s="501"/>
      <c r="O73" s="501"/>
      <c r="P73" s="501"/>
      <c r="Q73" s="501"/>
      <c r="R73" s="501"/>
      <c r="S73" s="501"/>
      <c r="T73" s="501"/>
      <c r="U73" s="501"/>
      <c r="V73" s="501"/>
      <c r="W73" s="501"/>
      <c r="X73" s="501"/>
      <c r="Y73" s="501"/>
      <c r="Z73" s="501"/>
      <c r="AA73" s="501"/>
      <c r="AB73" s="501"/>
      <c r="AC73" s="501"/>
      <c r="AD73" s="501"/>
      <c r="AE73" s="501"/>
      <c r="AF73" s="501"/>
      <c r="AG73" s="501"/>
      <c r="AH73" s="501"/>
      <c r="AI73" s="501"/>
      <c r="AJ73" s="501"/>
      <c r="AK73" s="501"/>
      <c r="AL73" s="502"/>
    </row>
    <row r="74" spans="2:38" ht="6" customHeight="1" thickTop="1" x14ac:dyDescent="0.15"/>
    <row r="75" spans="2:38" x14ac:dyDescent="0.15">
      <c r="C75" s="31" t="s">
        <v>573</v>
      </c>
    </row>
    <row r="76" spans="2:38" ht="15" thickBot="1" x14ac:dyDescent="0.2"/>
    <row r="77" spans="2:38" ht="24" customHeight="1" thickTop="1" thickBot="1" x14ac:dyDescent="0.2">
      <c r="B77" s="500" t="s">
        <v>202</v>
      </c>
      <c r="C77" s="501"/>
      <c r="D77" s="501"/>
      <c r="E77" s="501"/>
      <c r="F77" s="501"/>
      <c r="G77" s="501"/>
      <c r="H77" s="501"/>
      <c r="I77" s="501"/>
      <c r="J77" s="501"/>
      <c r="K77" s="501"/>
      <c r="L77" s="501"/>
      <c r="M77" s="501"/>
      <c r="N77" s="501"/>
      <c r="O77" s="501"/>
      <c r="P77" s="501"/>
      <c r="Q77" s="501"/>
      <c r="R77" s="501"/>
      <c r="S77" s="501"/>
      <c r="T77" s="501"/>
      <c r="U77" s="501"/>
      <c r="V77" s="501"/>
      <c r="W77" s="501"/>
      <c r="X77" s="501"/>
      <c r="Y77" s="501"/>
      <c r="Z77" s="501"/>
      <c r="AA77" s="501"/>
      <c r="AB77" s="501"/>
      <c r="AC77" s="501"/>
      <c r="AD77" s="501"/>
      <c r="AE77" s="501"/>
      <c r="AF77" s="501"/>
      <c r="AG77" s="501"/>
      <c r="AH77" s="501"/>
      <c r="AI77" s="501"/>
      <c r="AJ77" s="501"/>
      <c r="AK77" s="501"/>
      <c r="AL77" s="502"/>
    </row>
    <row r="78" spans="2:38" ht="6" customHeight="1" thickTop="1" x14ac:dyDescent="0.15"/>
    <row r="79" spans="2:38" x14ac:dyDescent="0.15">
      <c r="C79" s="31" t="s">
        <v>184</v>
      </c>
    </row>
    <row r="80" spans="2:38" ht="15" customHeight="1" x14ac:dyDescent="0.15"/>
    <row r="81" spans="3:38" ht="18" customHeight="1" x14ac:dyDescent="0.15">
      <c r="C81" s="517" t="s">
        <v>144</v>
      </c>
      <c r="D81" s="518"/>
      <c r="E81" s="518"/>
      <c r="F81" s="518"/>
      <c r="G81" s="518"/>
      <c r="H81" s="518"/>
      <c r="I81" s="518"/>
      <c r="J81" s="519"/>
      <c r="K81" s="517" t="s">
        <v>193</v>
      </c>
      <c r="L81" s="518"/>
      <c r="M81" s="518"/>
      <c r="N81" s="518"/>
      <c r="O81" s="518"/>
      <c r="P81" s="518"/>
      <c r="Q81" s="518"/>
      <c r="R81" s="518"/>
      <c r="S81" s="518"/>
      <c r="T81" s="518"/>
      <c r="U81" s="518"/>
      <c r="V81" s="518"/>
      <c r="W81" s="518"/>
      <c r="X81" s="518"/>
      <c r="Y81" s="518"/>
      <c r="Z81" s="518"/>
      <c r="AA81" s="518"/>
      <c r="AB81" s="518"/>
      <c r="AC81" s="518"/>
      <c r="AD81" s="518"/>
      <c r="AE81" s="518"/>
      <c r="AF81" s="518"/>
      <c r="AG81" s="518"/>
      <c r="AH81" s="518"/>
      <c r="AI81" s="518"/>
      <c r="AJ81" s="518"/>
      <c r="AK81" s="518"/>
      <c r="AL81" s="519"/>
    </row>
    <row r="82" spans="3:38" ht="18" customHeight="1" x14ac:dyDescent="0.15">
      <c r="C82" s="404" t="s">
        <v>185</v>
      </c>
      <c r="D82" s="405"/>
      <c r="E82" s="405"/>
      <c r="F82" s="405"/>
      <c r="G82" s="405"/>
      <c r="H82" s="405"/>
      <c r="I82" s="405"/>
      <c r="J82" s="406"/>
      <c r="K82" s="404" t="s">
        <v>188</v>
      </c>
      <c r="L82" s="405"/>
      <c r="M82" s="405"/>
      <c r="N82" s="405"/>
      <c r="O82" s="405"/>
      <c r="P82" s="405"/>
      <c r="Q82" s="405"/>
      <c r="R82" s="405"/>
      <c r="S82" s="405"/>
      <c r="T82" s="405"/>
      <c r="U82" s="405"/>
      <c r="V82" s="405"/>
      <c r="W82" s="405"/>
      <c r="X82" s="405"/>
      <c r="Y82" s="405"/>
      <c r="Z82" s="405"/>
      <c r="AA82" s="405"/>
      <c r="AB82" s="405"/>
      <c r="AC82" s="405"/>
      <c r="AD82" s="405"/>
      <c r="AE82" s="405"/>
      <c r="AF82" s="405"/>
      <c r="AG82" s="405"/>
      <c r="AH82" s="405"/>
      <c r="AI82" s="405"/>
      <c r="AJ82" s="405"/>
      <c r="AK82" s="405"/>
      <c r="AL82" s="406"/>
    </row>
    <row r="83" spans="3:38" ht="18" customHeight="1" x14ac:dyDescent="0.15">
      <c r="C83" s="410"/>
      <c r="D83" s="411"/>
      <c r="E83" s="411"/>
      <c r="F83" s="411"/>
      <c r="G83" s="411"/>
      <c r="H83" s="411"/>
      <c r="I83" s="411"/>
      <c r="J83" s="412"/>
      <c r="K83" s="410" t="s">
        <v>189</v>
      </c>
      <c r="L83" s="411"/>
      <c r="M83" s="411"/>
      <c r="N83" s="411"/>
      <c r="O83" s="411"/>
      <c r="P83" s="411"/>
      <c r="Q83" s="411"/>
      <c r="R83" s="411"/>
      <c r="S83" s="411"/>
      <c r="T83" s="411"/>
      <c r="U83" s="411"/>
      <c r="V83" s="411"/>
      <c r="W83" s="411"/>
      <c r="X83" s="411"/>
      <c r="Y83" s="411"/>
      <c r="Z83" s="411"/>
      <c r="AA83" s="411"/>
      <c r="AB83" s="411"/>
      <c r="AC83" s="411"/>
      <c r="AD83" s="411"/>
      <c r="AE83" s="411"/>
      <c r="AF83" s="411"/>
      <c r="AG83" s="411"/>
      <c r="AH83" s="411"/>
      <c r="AI83" s="411"/>
      <c r="AJ83" s="411"/>
      <c r="AK83" s="411"/>
      <c r="AL83" s="412"/>
    </row>
    <row r="84" spans="3:38" ht="18" customHeight="1" x14ac:dyDescent="0.15">
      <c r="C84" s="523" t="s">
        <v>502</v>
      </c>
      <c r="D84" s="524"/>
      <c r="E84" s="524"/>
      <c r="F84" s="524"/>
      <c r="G84" s="524"/>
      <c r="H84" s="524"/>
      <c r="I84" s="524"/>
      <c r="J84" s="525"/>
      <c r="K84" s="404" t="s">
        <v>503</v>
      </c>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405"/>
      <c r="AL84" s="406"/>
    </row>
    <row r="85" spans="3:38" ht="18" customHeight="1" x14ac:dyDescent="0.15">
      <c r="C85" s="520" t="s">
        <v>449</v>
      </c>
      <c r="D85" s="521"/>
      <c r="E85" s="521"/>
      <c r="F85" s="521"/>
      <c r="G85" s="521"/>
      <c r="H85" s="521"/>
      <c r="I85" s="521"/>
      <c r="J85" s="522"/>
      <c r="K85" s="407" t="s">
        <v>444</v>
      </c>
      <c r="L85" s="408"/>
      <c r="M85" s="408"/>
      <c r="N85" s="408"/>
      <c r="O85" s="408"/>
      <c r="P85" s="408"/>
      <c r="Q85" s="408"/>
      <c r="R85" s="408"/>
      <c r="S85" s="408"/>
      <c r="T85" s="408"/>
      <c r="U85" s="408"/>
      <c r="V85" s="408"/>
      <c r="W85" s="408"/>
      <c r="X85" s="408"/>
      <c r="Y85" s="408"/>
      <c r="Z85" s="408"/>
      <c r="AA85" s="408"/>
      <c r="AB85" s="408"/>
      <c r="AC85" s="408"/>
      <c r="AD85" s="408"/>
      <c r="AE85" s="408"/>
      <c r="AF85" s="408"/>
      <c r="AG85" s="408"/>
      <c r="AH85" s="408"/>
      <c r="AI85" s="408"/>
      <c r="AJ85" s="408"/>
      <c r="AK85" s="408"/>
      <c r="AL85" s="409"/>
    </row>
    <row r="86" spans="3:38" ht="18" customHeight="1" x14ac:dyDescent="0.15">
      <c r="C86" s="40"/>
      <c r="D86" s="41"/>
      <c r="E86" s="41"/>
      <c r="F86" s="41"/>
      <c r="G86" s="41"/>
      <c r="H86" s="41"/>
      <c r="I86" s="41"/>
      <c r="J86" s="42"/>
      <c r="K86" s="410" t="s">
        <v>609</v>
      </c>
      <c r="L86" s="411"/>
      <c r="M86" s="411"/>
      <c r="N86" s="411"/>
      <c r="O86" s="411"/>
      <c r="P86" s="411"/>
      <c r="Q86" s="411"/>
      <c r="R86" s="411"/>
      <c r="S86" s="411"/>
      <c r="T86" s="411"/>
      <c r="U86" s="411"/>
      <c r="V86" s="411"/>
      <c r="W86" s="411"/>
      <c r="X86" s="411"/>
      <c r="Y86" s="411"/>
      <c r="Z86" s="411"/>
      <c r="AA86" s="411"/>
      <c r="AB86" s="411"/>
      <c r="AC86" s="411"/>
      <c r="AD86" s="411"/>
      <c r="AE86" s="411"/>
      <c r="AF86" s="411"/>
      <c r="AG86" s="411"/>
      <c r="AH86" s="411"/>
      <c r="AI86" s="411"/>
      <c r="AJ86" s="411"/>
      <c r="AK86" s="411"/>
      <c r="AL86" s="412"/>
    </row>
    <row r="87" spans="3:38" ht="18" customHeight="1" x14ac:dyDescent="0.15">
      <c r="C87" s="404" t="s">
        <v>145</v>
      </c>
      <c r="D87" s="405"/>
      <c r="E87" s="405"/>
      <c r="F87" s="405"/>
      <c r="G87" s="405"/>
      <c r="H87" s="405"/>
      <c r="I87" s="405"/>
      <c r="J87" s="406"/>
      <c r="K87" s="404" t="s">
        <v>431</v>
      </c>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405"/>
      <c r="AL87" s="406"/>
    </row>
    <row r="88" spans="3:38" ht="18" customHeight="1" x14ac:dyDescent="0.15">
      <c r="C88" s="407"/>
      <c r="D88" s="408"/>
      <c r="E88" s="408"/>
      <c r="F88" s="408"/>
      <c r="G88" s="408"/>
      <c r="H88" s="408"/>
      <c r="I88" s="408"/>
      <c r="J88" s="409"/>
      <c r="K88" s="407" t="s">
        <v>432</v>
      </c>
      <c r="L88" s="408"/>
      <c r="M88" s="408"/>
      <c r="N88" s="408"/>
      <c r="O88" s="408"/>
      <c r="P88" s="408"/>
      <c r="Q88" s="408"/>
      <c r="R88" s="408"/>
      <c r="S88" s="408"/>
      <c r="T88" s="408"/>
      <c r="U88" s="408"/>
      <c r="V88" s="408"/>
      <c r="W88" s="408"/>
      <c r="X88" s="408"/>
      <c r="Y88" s="408"/>
      <c r="Z88" s="408"/>
      <c r="AA88" s="408"/>
      <c r="AB88" s="408"/>
      <c r="AC88" s="408"/>
      <c r="AD88" s="408"/>
      <c r="AE88" s="408"/>
      <c r="AF88" s="408"/>
      <c r="AG88" s="408"/>
      <c r="AH88" s="408"/>
      <c r="AI88" s="408"/>
      <c r="AJ88" s="408"/>
      <c r="AK88" s="408"/>
      <c r="AL88" s="409"/>
    </row>
    <row r="89" spans="3:38" ht="18" customHeight="1" x14ac:dyDescent="0.15">
      <c r="C89" s="410"/>
      <c r="D89" s="411"/>
      <c r="E89" s="411"/>
      <c r="F89" s="411"/>
      <c r="G89" s="411"/>
      <c r="H89" s="411"/>
      <c r="I89" s="411"/>
      <c r="J89" s="412"/>
      <c r="K89" s="441" t="s">
        <v>233</v>
      </c>
      <c r="L89" s="442"/>
      <c r="M89" s="442"/>
      <c r="N89" s="442"/>
      <c r="O89" s="442"/>
      <c r="P89" s="442"/>
      <c r="Q89" s="442"/>
      <c r="R89" s="442"/>
      <c r="S89" s="442"/>
      <c r="T89" s="442"/>
      <c r="U89" s="442"/>
      <c r="V89" s="442"/>
      <c r="W89" s="442"/>
      <c r="X89" s="442"/>
      <c r="Y89" s="442"/>
      <c r="Z89" s="442"/>
      <c r="AA89" s="442"/>
      <c r="AB89" s="442"/>
      <c r="AC89" s="442"/>
      <c r="AD89" s="442"/>
      <c r="AE89" s="442"/>
      <c r="AF89" s="442"/>
      <c r="AG89" s="442"/>
      <c r="AH89" s="442"/>
      <c r="AI89" s="442"/>
      <c r="AJ89" s="442"/>
      <c r="AK89" s="442"/>
      <c r="AL89" s="443"/>
    </row>
    <row r="90" spans="3:38" ht="18" customHeight="1" x14ac:dyDescent="0.15">
      <c r="C90" s="404" t="s">
        <v>504</v>
      </c>
      <c r="D90" s="405"/>
      <c r="E90" s="405"/>
      <c r="F90" s="405"/>
      <c r="G90" s="405"/>
      <c r="H90" s="405"/>
      <c r="I90" s="405"/>
      <c r="J90" s="406"/>
      <c r="K90" s="404" t="s">
        <v>505</v>
      </c>
      <c r="L90" s="405"/>
      <c r="M90" s="405"/>
      <c r="N90" s="405"/>
      <c r="O90" s="405"/>
      <c r="P90" s="405"/>
      <c r="Q90" s="405"/>
      <c r="R90" s="405"/>
      <c r="S90" s="405"/>
      <c r="T90" s="405"/>
      <c r="U90" s="405"/>
      <c r="V90" s="405"/>
      <c r="W90" s="405"/>
      <c r="X90" s="405"/>
      <c r="Y90" s="405"/>
      <c r="Z90" s="405"/>
      <c r="AA90" s="405"/>
      <c r="AB90" s="405"/>
      <c r="AC90" s="405"/>
      <c r="AD90" s="405"/>
      <c r="AE90" s="405"/>
      <c r="AF90" s="405"/>
      <c r="AG90" s="405"/>
      <c r="AH90" s="405"/>
      <c r="AI90" s="405"/>
      <c r="AJ90" s="405"/>
      <c r="AK90" s="405"/>
      <c r="AL90" s="406"/>
    </row>
    <row r="91" spans="3:38" ht="18" customHeight="1" x14ac:dyDescent="0.15">
      <c r="C91" s="520" t="s">
        <v>449</v>
      </c>
      <c r="D91" s="521"/>
      <c r="E91" s="521"/>
      <c r="F91" s="521"/>
      <c r="G91" s="521"/>
      <c r="H91" s="521"/>
      <c r="I91" s="521"/>
      <c r="J91" s="522"/>
      <c r="K91" s="407" t="s">
        <v>506</v>
      </c>
      <c r="L91" s="408"/>
      <c r="M91" s="408"/>
      <c r="N91" s="408"/>
      <c r="O91" s="408"/>
      <c r="P91" s="408"/>
      <c r="Q91" s="408"/>
      <c r="R91" s="408"/>
      <c r="S91" s="408"/>
      <c r="T91" s="408"/>
      <c r="U91" s="408"/>
      <c r="V91" s="408"/>
      <c r="W91" s="408"/>
      <c r="X91" s="408"/>
      <c r="Y91" s="408"/>
      <c r="Z91" s="408"/>
      <c r="AA91" s="408"/>
      <c r="AB91" s="408"/>
      <c r="AC91" s="408"/>
      <c r="AD91" s="408"/>
      <c r="AE91" s="408"/>
      <c r="AF91" s="408"/>
      <c r="AG91" s="408"/>
      <c r="AH91" s="408"/>
      <c r="AI91" s="408"/>
      <c r="AJ91" s="408"/>
      <c r="AK91" s="408"/>
      <c r="AL91" s="409"/>
    </row>
    <row r="92" spans="3:38" ht="18" customHeight="1" x14ac:dyDescent="0.15">
      <c r="C92" s="530"/>
      <c r="D92" s="531"/>
      <c r="E92" s="531"/>
      <c r="F92" s="531"/>
      <c r="G92" s="531"/>
      <c r="H92" s="531"/>
      <c r="I92" s="531"/>
      <c r="J92" s="532"/>
      <c r="K92" s="410" t="s">
        <v>433</v>
      </c>
      <c r="L92" s="411"/>
      <c r="M92" s="411"/>
      <c r="N92" s="411"/>
      <c r="O92" s="411"/>
      <c r="P92" s="411"/>
      <c r="Q92" s="411"/>
      <c r="R92" s="411"/>
      <c r="S92" s="411"/>
      <c r="T92" s="411"/>
      <c r="U92" s="411"/>
      <c r="V92" s="411"/>
      <c r="W92" s="411"/>
      <c r="X92" s="411"/>
      <c r="Y92" s="411"/>
      <c r="Z92" s="411"/>
      <c r="AA92" s="411"/>
      <c r="AB92" s="411"/>
      <c r="AC92" s="411"/>
      <c r="AD92" s="411"/>
      <c r="AE92" s="411"/>
      <c r="AF92" s="411"/>
      <c r="AG92" s="411"/>
      <c r="AH92" s="411"/>
      <c r="AI92" s="411"/>
      <c r="AJ92" s="411"/>
      <c r="AK92" s="411"/>
      <c r="AL92" s="412"/>
    </row>
    <row r="93" spans="3:38" ht="18" customHeight="1" x14ac:dyDescent="0.15">
      <c r="C93" s="404" t="s">
        <v>186</v>
      </c>
      <c r="D93" s="405"/>
      <c r="E93" s="405"/>
      <c r="F93" s="405"/>
      <c r="G93" s="405"/>
      <c r="H93" s="405"/>
      <c r="I93" s="405"/>
      <c r="J93" s="406"/>
      <c r="K93" s="404" t="s">
        <v>190</v>
      </c>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405"/>
      <c r="AL93" s="406"/>
    </row>
    <row r="94" spans="3:38" ht="18" customHeight="1" x14ac:dyDescent="0.15">
      <c r="C94" s="410"/>
      <c r="D94" s="411"/>
      <c r="E94" s="411"/>
      <c r="F94" s="411"/>
      <c r="G94" s="411"/>
      <c r="H94" s="411"/>
      <c r="I94" s="411"/>
      <c r="J94" s="412"/>
      <c r="K94" s="410" t="s">
        <v>192</v>
      </c>
      <c r="L94" s="411"/>
      <c r="M94" s="411"/>
      <c r="N94" s="411"/>
      <c r="O94" s="411"/>
      <c r="P94" s="411"/>
      <c r="Q94" s="411"/>
      <c r="R94" s="411"/>
      <c r="S94" s="411"/>
      <c r="T94" s="411"/>
      <c r="U94" s="411"/>
      <c r="V94" s="411"/>
      <c r="W94" s="411"/>
      <c r="X94" s="411"/>
      <c r="Y94" s="411"/>
      <c r="Z94" s="411"/>
      <c r="AA94" s="411"/>
      <c r="AB94" s="411"/>
      <c r="AC94" s="411"/>
      <c r="AD94" s="411"/>
      <c r="AE94" s="411"/>
      <c r="AF94" s="411"/>
      <c r="AG94" s="411"/>
      <c r="AH94" s="411"/>
      <c r="AI94" s="411"/>
      <c r="AJ94" s="411"/>
      <c r="AK94" s="411"/>
      <c r="AL94" s="412"/>
    </row>
    <row r="95" spans="3:38" ht="18" customHeight="1" x14ac:dyDescent="0.15">
      <c r="C95" s="404" t="s">
        <v>187</v>
      </c>
      <c r="D95" s="405"/>
      <c r="E95" s="405"/>
      <c r="F95" s="405"/>
      <c r="G95" s="405"/>
      <c r="H95" s="405"/>
      <c r="I95" s="405"/>
      <c r="J95" s="406"/>
      <c r="K95" s="404" t="s">
        <v>191</v>
      </c>
      <c r="L95" s="405"/>
      <c r="M95" s="405"/>
      <c r="N95" s="405"/>
      <c r="O95" s="405"/>
      <c r="P95" s="405"/>
      <c r="Q95" s="405"/>
      <c r="R95" s="405"/>
      <c r="S95" s="405"/>
      <c r="T95" s="405"/>
      <c r="U95" s="405"/>
      <c r="V95" s="405"/>
      <c r="W95" s="405"/>
      <c r="X95" s="405"/>
      <c r="Y95" s="405"/>
      <c r="Z95" s="405"/>
      <c r="AA95" s="405"/>
      <c r="AB95" s="405"/>
      <c r="AC95" s="405"/>
      <c r="AD95" s="405"/>
      <c r="AE95" s="405"/>
      <c r="AF95" s="405"/>
      <c r="AG95" s="405"/>
      <c r="AH95" s="405"/>
      <c r="AI95" s="405"/>
      <c r="AJ95" s="405"/>
      <c r="AK95" s="405"/>
      <c r="AL95" s="406"/>
    </row>
    <row r="96" spans="3:38" ht="18" customHeight="1" x14ac:dyDescent="0.15">
      <c r="C96" s="410"/>
      <c r="D96" s="411"/>
      <c r="E96" s="411"/>
      <c r="F96" s="411"/>
      <c r="G96" s="411"/>
      <c r="H96" s="411"/>
      <c r="I96" s="411"/>
      <c r="J96" s="412"/>
      <c r="K96" s="441" t="s">
        <v>203</v>
      </c>
      <c r="L96" s="442"/>
      <c r="M96" s="442"/>
      <c r="N96" s="442"/>
      <c r="O96" s="442"/>
      <c r="P96" s="442"/>
      <c r="Q96" s="442"/>
      <c r="R96" s="442"/>
      <c r="S96" s="442"/>
      <c r="T96" s="442"/>
      <c r="U96" s="442"/>
      <c r="V96" s="442"/>
      <c r="W96" s="442"/>
      <c r="X96" s="442"/>
      <c r="Y96" s="442"/>
      <c r="Z96" s="442"/>
      <c r="AA96" s="442"/>
      <c r="AB96" s="442"/>
      <c r="AC96" s="442"/>
      <c r="AD96" s="442"/>
      <c r="AE96" s="442"/>
      <c r="AF96" s="442"/>
      <c r="AG96" s="442"/>
      <c r="AH96" s="442"/>
      <c r="AI96" s="442"/>
      <c r="AJ96" s="442"/>
      <c r="AK96" s="442"/>
      <c r="AL96" s="443"/>
    </row>
    <row r="97" spans="2:38" ht="18" hidden="1" customHeight="1" x14ac:dyDescent="0.15">
      <c r="C97" s="444" t="s">
        <v>231</v>
      </c>
      <c r="D97" s="445"/>
      <c r="E97" s="445"/>
      <c r="F97" s="445"/>
      <c r="G97" s="445"/>
      <c r="H97" s="445"/>
      <c r="I97" s="445"/>
      <c r="J97" s="446"/>
      <c r="K97" s="404" t="s">
        <v>322</v>
      </c>
      <c r="L97" s="405"/>
      <c r="M97" s="405"/>
      <c r="N97" s="405"/>
      <c r="O97" s="405"/>
      <c r="P97" s="405"/>
      <c r="Q97" s="405"/>
      <c r="R97" s="405"/>
      <c r="S97" s="405"/>
      <c r="T97" s="405"/>
      <c r="U97" s="405"/>
      <c r="V97" s="405"/>
      <c r="W97" s="405"/>
      <c r="X97" s="405"/>
      <c r="Y97" s="405"/>
      <c r="Z97" s="405"/>
      <c r="AA97" s="405"/>
      <c r="AB97" s="405"/>
      <c r="AC97" s="405"/>
      <c r="AD97" s="405"/>
      <c r="AE97" s="405"/>
      <c r="AF97" s="405"/>
      <c r="AG97" s="405"/>
      <c r="AH97" s="405"/>
      <c r="AI97" s="405"/>
      <c r="AJ97" s="405"/>
      <c r="AK97" s="405"/>
      <c r="AL97" s="406"/>
    </row>
    <row r="98" spans="2:38" ht="18" hidden="1" customHeight="1" x14ac:dyDescent="0.15">
      <c r="C98" s="447"/>
      <c r="D98" s="448"/>
      <c r="E98" s="448"/>
      <c r="F98" s="448"/>
      <c r="G98" s="448"/>
      <c r="H98" s="448"/>
      <c r="I98" s="448"/>
      <c r="J98" s="449"/>
      <c r="K98" s="410" t="s">
        <v>323</v>
      </c>
      <c r="L98" s="411"/>
      <c r="M98" s="411"/>
      <c r="N98" s="411"/>
      <c r="O98" s="411"/>
      <c r="P98" s="411"/>
      <c r="Q98" s="411"/>
      <c r="R98" s="411"/>
      <c r="S98" s="411"/>
      <c r="T98" s="411"/>
      <c r="U98" s="411"/>
      <c r="V98" s="411"/>
      <c r="W98" s="411"/>
      <c r="X98" s="411"/>
      <c r="Y98" s="411"/>
      <c r="Z98" s="411"/>
      <c r="AA98" s="411"/>
      <c r="AB98" s="411"/>
      <c r="AC98" s="411"/>
      <c r="AD98" s="411"/>
      <c r="AE98" s="411"/>
      <c r="AF98" s="411"/>
      <c r="AG98" s="411"/>
      <c r="AH98" s="411"/>
      <c r="AI98" s="411"/>
      <c r="AJ98" s="411"/>
      <c r="AK98" s="411"/>
      <c r="AL98" s="412"/>
    </row>
    <row r="99" spans="2:38" ht="15" thickBot="1" x14ac:dyDescent="0.2"/>
    <row r="100" spans="2:38" ht="24" customHeight="1" thickTop="1" thickBot="1" x14ac:dyDescent="0.2">
      <c r="B100" s="500" t="s">
        <v>204</v>
      </c>
      <c r="C100" s="501"/>
      <c r="D100" s="501"/>
      <c r="E100" s="501"/>
      <c r="F100" s="501"/>
      <c r="G100" s="501"/>
      <c r="H100" s="501"/>
      <c r="I100" s="501"/>
      <c r="J100" s="501"/>
      <c r="K100" s="501"/>
      <c r="L100" s="501"/>
      <c r="M100" s="501"/>
      <c r="N100" s="501"/>
      <c r="O100" s="501"/>
      <c r="P100" s="501"/>
      <c r="Q100" s="501"/>
      <c r="R100" s="501"/>
      <c r="S100" s="501"/>
      <c r="T100" s="501"/>
      <c r="U100" s="501"/>
      <c r="V100" s="501"/>
      <c r="W100" s="501"/>
      <c r="X100" s="501"/>
      <c r="Y100" s="501"/>
      <c r="Z100" s="501"/>
      <c r="AA100" s="501"/>
      <c r="AB100" s="501"/>
      <c r="AC100" s="501"/>
      <c r="AD100" s="501"/>
      <c r="AE100" s="501"/>
      <c r="AF100" s="501"/>
      <c r="AG100" s="501"/>
      <c r="AH100" s="501"/>
      <c r="AI100" s="501"/>
      <c r="AJ100" s="501"/>
      <c r="AK100" s="501"/>
      <c r="AL100" s="502"/>
    </row>
    <row r="101" spans="2:38" ht="6" customHeight="1" thickTop="1" x14ac:dyDescent="0.15">
      <c r="B101" s="32"/>
    </row>
    <row r="102" spans="2:38" x14ac:dyDescent="0.15">
      <c r="B102" s="32"/>
      <c r="C102" s="31" t="s">
        <v>454</v>
      </c>
    </row>
    <row r="103" spans="2:38" ht="15" customHeight="1" x14ac:dyDescent="0.15">
      <c r="B103" s="32"/>
    </row>
    <row r="104" spans="2:38" ht="15" customHeight="1" x14ac:dyDescent="0.15">
      <c r="B104" s="32"/>
      <c r="AL104" s="55" t="s">
        <v>212</v>
      </c>
    </row>
    <row r="105" spans="2:38" ht="18" customHeight="1" x14ac:dyDescent="0.15">
      <c r="B105" s="527" t="s">
        <v>144</v>
      </c>
      <c r="C105" s="528"/>
      <c r="D105" s="528"/>
      <c r="E105" s="528"/>
      <c r="F105" s="528"/>
      <c r="G105" s="528"/>
      <c r="H105" s="529"/>
      <c r="I105" s="527" t="s">
        <v>156</v>
      </c>
      <c r="J105" s="528"/>
      <c r="K105" s="528"/>
      <c r="L105" s="528"/>
      <c r="M105" s="528"/>
      <c r="N105" s="528"/>
      <c r="O105" s="528"/>
      <c r="P105" s="529"/>
      <c r="Q105" s="527" t="s">
        <v>193</v>
      </c>
      <c r="R105" s="528"/>
      <c r="S105" s="528"/>
      <c r="T105" s="528"/>
      <c r="U105" s="528"/>
      <c r="V105" s="528"/>
      <c r="W105" s="528"/>
      <c r="X105" s="528"/>
      <c r="Y105" s="528"/>
      <c r="Z105" s="528"/>
      <c r="AA105" s="528"/>
      <c r="AB105" s="528"/>
      <c r="AC105" s="529"/>
      <c r="AD105" s="517" t="s">
        <v>209</v>
      </c>
      <c r="AE105" s="518"/>
      <c r="AF105" s="519"/>
      <c r="AG105" s="517" t="s">
        <v>554</v>
      </c>
      <c r="AH105" s="518"/>
      <c r="AI105" s="518"/>
      <c r="AJ105" s="518"/>
      <c r="AK105" s="518"/>
      <c r="AL105" s="519"/>
    </row>
    <row r="106" spans="2:38" ht="18" customHeight="1" x14ac:dyDescent="0.15">
      <c r="B106" s="117" t="s">
        <v>507</v>
      </c>
      <c r="C106" s="121"/>
      <c r="D106" s="121"/>
      <c r="E106" s="121"/>
      <c r="F106" s="121"/>
      <c r="G106" s="121"/>
      <c r="H106" s="121"/>
      <c r="I106" s="126"/>
      <c r="J106" s="127"/>
      <c r="K106" s="126"/>
      <c r="L106" s="126"/>
      <c r="M106" s="126"/>
      <c r="N106" s="126"/>
      <c r="O106" s="126"/>
      <c r="P106" s="126"/>
      <c r="Q106" s="126"/>
      <c r="R106" s="126"/>
      <c r="S106" s="126"/>
      <c r="T106" s="126"/>
      <c r="U106" s="126"/>
      <c r="V106" s="126"/>
      <c r="W106" s="126"/>
      <c r="X106" s="126"/>
      <c r="Y106" s="126"/>
      <c r="Z106" s="126"/>
      <c r="AA106" s="126"/>
      <c r="AB106" s="126"/>
      <c r="AC106" s="126"/>
      <c r="AD106" s="118"/>
      <c r="AE106" s="118"/>
      <c r="AF106" s="118"/>
      <c r="AG106" s="118"/>
      <c r="AH106" s="118"/>
      <c r="AI106" s="118"/>
      <c r="AJ106" s="118"/>
      <c r="AK106" s="118"/>
      <c r="AL106" s="119"/>
    </row>
    <row r="107" spans="2:38" ht="18" customHeight="1" x14ac:dyDescent="0.15">
      <c r="B107" s="122"/>
      <c r="C107" s="123"/>
      <c r="D107" s="123"/>
      <c r="E107" s="123"/>
      <c r="F107" s="123"/>
      <c r="G107" s="123"/>
      <c r="H107" s="128" t="s">
        <v>555</v>
      </c>
      <c r="I107" s="473" t="s">
        <v>146</v>
      </c>
      <c r="J107" s="474"/>
      <c r="K107" s="474"/>
      <c r="L107" s="474"/>
      <c r="M107" s="474"/>
      <c r="N107" s="474"/>
      <c r="O107" s="474"/>
      <c r="P107" s="475"/>
      <c r="Q107" s="460" t="s">
        <v>155</v>
      </c>
      <c r="R107" s="461"/>
      <c r="S107" s="461"/>
      <c r="T107" s="461"/>
      <c r="U107" s="461"/>
      <c r="V107" s="461"/>
      <c r="W107" s="461"/>
      <c r="X107" s="461"/>
      <c r="Y107" s="461"/>
      <c r="Z107" s="461"/>
      <c r="AA107" s="461"/>
      <c r="AB107" s="461"/>
      <c r="AC107" s="462"/>
      <c r="AD107" s="463" t="s">
        <v>210</v>
      </c>
      <c r="AE107" s="464"/>
      <c r="AF107" s="465"/>
      <c r="AG107" s="43"/>
      <c r="AH107" s="44"/>
      <c r="AI107" s="44"/>
      <c r="AJ107" s="44"/>
      <c r="AK107" s="44"/>
      <c r="AL107" s="45"/>
    </row>
    <row r="108" spans="2:38" ht="18" customHeight="1" x14ac:dyDescent="0.15">
      <c r="B108" s="122"/>
      <c r="C108" s="123"/>
      <c r="D108" s="123"/>
      <c r="E108" s="123"/>
      <c r="F108" s="123"/>
      <c r="G108" s="123"/>
      <c r="H108" s="124"/>
      <c r="I108" s="122"/>
      <c r="J108" s="487" t="s">
        <v>434</v>
      </c>
      <c r="K108" s="488"/>
      <c r="L108" s="488"/>
      <c r="M108" s="488"/>
      <c r="N108" s="488"/>
      <c r="O108" s="488"/>
      <c r="P108" s="489"/>
      <c r="Q108" s="503" t="s">
        <v>435</v>
      </c>
      <c r="R108" s="488"/>
      <c r="S108" s="488"/>
      <c r="T108" s="488"/>
      <c r="U108" s="488"/>
      <c r="V108" s="488"/>
      <c r="W108" s="488"/>
      <c r="X108" s="488"/>
      <c r="Y108" s="488"/>
      <c r="Z108" s="488"/>
      <c r="AA108" s="488"/>
      <c r="AB108" s="488"/>
      <c r="AC108" s="489"/>
      <c r="AD108" s="504"/>
      <c r="AE108" s="505"/>
      <c r="AF108" s="506"/>
      <c r="AG108" s="46"/>
      <c r="AH108" s="47"/>
      <c r="AI108" s="47"/>
      <c r="AJ108" s="47"/>
      <c r="AK108" s="47"/>
      <c r="AL108" s="48"/>
    </row>
    <row r="109" spans="2:38" ht="18" customHeight="1" x14ac:dyDescent="0.15">
      <c r="B109" s="122"/>
      <c r="C109" s="123"/>
      <c r="D109" s="123"/>
      <c r="E109" s="123"/>
      <c r="F109" s="123"/>
      <c r="G109" s="123"/>
      <c r="H109" s="124"/>
      <c r="I109" s="122"/>
      <c r="J109" s="490" t="s">
        <v>436</v>
      </c>
      <c r="K109" s="491"/>
      <c r="L109" s="491"/>
      <c r="M109" s="491"/>
      <c r="N109" s="491"/>
      <c r="O109" s="491"/>
      <c r="P109" s="492"/>
      <c r="Q109" s="507" t="s">
        <v>437</v>
      </c>
      <c r="R109" s="508"/>
      <c r="S109" s="508"/>
      <c r="T109" s="508"/>
      <c r="U109" s="508"/>
      <c r="V109" s="508"/>
      <c r="W109" s="508"/>
      <c r="X109" s="508"/>
      <c r="Y109" s="508"/>
      <c r="Z109" s="508"/>
      <c r="AA109" s="508"/>
      <c r="AB109" s="508"/>
      <c r="AC109" s="509"/>
      <c r="AD109" s="510"/>
      <c r="AE109" s="511"/>
      <c r="AF109" s="512"/>
      <c r="AG109" s="49"/>
      <c r="AH109" s="50"/>
      <c r="AI109" s="50"/>
      <c r="AJ109" s="50"/>
      <c r="AK109" s="50"/>
      <c r="AL109" s="51"/>
    </row>
    <row r="110" spans="2:38" ht="18" customHeight="1" x14ac:dyDescent="0.15">
      <c r="B110" s="122"/>
      <c r="C110" s="123"/>
      <c r="D110" s="123"/>
      <c r="E110" s="123"/>
      <c r="F110" s="123"/>
      <c r="G110" s="123"/>
      <c r="H110" s="124"/>
      <c r="I110" s="425" t="s">
        <v>147</v>
      </c>
      <c r="J110" s="426"/>
      <c r="K110" s="426"/>
      <c r="L110" s="426"/>
      <c r="M110" s="426"/>
      <c r="N110" s="426"/>
      <c r="O110" s="426"/>
      <c r="P110" s="427"/>
      <c r="Q110" s="425" t="s">
        <v>438</v>
      </c>
      <c r="R110" s="426"/>
      <c r="S110" s="426"/>
      <c r="T110" s="426"/>
      <c r="U110" s="426"/>
      <c r="V110" s="426"/>
      <c r="W110" s="426"/>
      <c r="X110" s="426"/>
      <c r="Y110" s="426"/>
      <c r="Z110" s="426"/>
      <c r="AA110" s="426"/>
      <c r="AB110" s="426"/>
      <c r="AC110" s="427"/>
      <c r="AD110" s="422" t="s">
        <v>210</v>
      </c>
      <c r="AE110" s="428"/>
      <c r="AF110" s="429"/>
      <c r="AG110" s="52" t="s">
        <v>439</v>
      </c>
      <c r="AH110" s="53"/>
      <c r="AI110" s="53"/>
      <c r="AJ110" s="53"/>
      <c r="AK110" s="53"/>
      <c r="AL110" s="54"/>
    </row>
    <row r="111" spans="2:38" ht="18" customHeight="1" x14ac:dyDescent="0.15">
      <c r="B111" s="122"/>
      <c r="C111" s="123"/>
      <c r="D111" s="123"/>
      <c r="E111" s="123"/>
      <c r="F111" s="123"/>
      <c r="G111" s="123"/>
      <c r="H111" s="124"/>
      <c r="I111" s="425" t="s">
        <v>508</v>
      </c>
      <c r="J111" s="426"/>
      <c r="K111" s="426"/>
      <c r="L111" s="426"/>
      <c r="M111" s="426"/>
      <c r="N111" s="426"/>
      <c r="O111" s="426"/>
      <c r="P111" s="427"/>
      <c r="Q111" s="425" t="s">
        <v>509</v>
      </c>
      <c r="R111" s="426"/>
      <c r="S111" s="426"/>
      <c r="T111" s="426"/>
      <c r="U111" s="426"/>
      <c r="V111" s="426"/>
      <c r="W111" s="426"/>
      <c r="X111" s="426"/>
      <c r="Y111" s="426"/>
      <c r="Z111" s="426"/>
      <c r="AA111" s="426"/>
      <c r="AB111" s="426"/>
      <c r="AC111" s="427"/>
      <c r="AD111" s="422" t="s">
        <v>210</v>
      </c>
      <c r="AE111" s="428"/>
      <c r="AF111" s="429"/>
      <c r="AG111" s="52" t="s">
        <v>439</v>
      </c>
      <c r="AH111" s="53"/>
      <c r="AI111" s="53"/>
      <c r="AJ111" s="53"/>
      <c r="AK111" s="53"/>
      <c r="AL111" s="54"/>
    </row>
    <row r="112" spans="2:38" ht="18" customHeight="1" x14ac:dyDescent="0.15">
      <c r="B112" s="122"/>
      <c r="C112" s="123"/>
      <c r="D112" s="123"/>
      <c r="E112" s="123"/>
      <c r="F112" s="123"/>
      <c r="G112" s="123"/>
      <c r="H112" s="124"/>
      <c r="I112" s="473" t="s">
        <v>440</v>
      </c>
      <c r="J112" s="474"/>
      <c r="K112" s="474"/>
      <c r="L112" s="474"/>
      <c r="M112" s="474"/>
      <c r="N112" s="474"/>
      <c r="O112" s="474"/>
      <c r="P112" s="475"/>
      <c r="Q112" s="37" t="s">
        <v>455</v>
      </c>
      <c r="R112" s="38"/>
      <c r="S112" s="38"/>
      <c r="T112" s="38"/>
      <c r="U112" s="38"/>
      <c r="V112" s="38"/>
      <c r="W112" s="38"/>
      <c r="X112" s="38"/>
      <c r="Y112" s="38"/>
      <c r="Z112" s="38"/>
      <c r="AA112" s="38"/>
      <c r="AB112" s="38"/>
      <c r="AC112" s="39"/>
      <c r="AD112" s="470" t="s">
        <v>441</v>
      </c>
      <c r="AE112" s="471"/>
      <c r="AF112" s="472"/>
      <c r="AG112" s="37"/>
      <c r="AH112" s="38"/>
      <c r="AI112" s="38"/>
      <c r="AJ112" s="38"/>
      <c r="AK112" s="38"/>
      <c r="AL112" s="39"/>
    </row>
    <row r="113" spans="2:38" ht="18" customHeight="1" x14ac:dyDescent="0.15">
      <c r="B113" s="122"/>
      <c r="C113" s="123"/>
      <c r="D113" s="123"/>
      <c r="E113" s="123"/>
      <c r="F113" s="123"/>
      <c r="G113" s="123"/>
      <c r="H113" s="123"/>
      <c r="I113" s="413" t="s">
        <v>148</v>
      </c>
      <c r="J113" s="413"/>
      <c r="K113" s="413"/>
      <c r="L113" s="413"/>
      <c r="M113" s="413"/>
      <c r="N113" s="413"/>
      <c r="O113" s="413"/>
      <c r="P113" s="413"/>
      <c r="Q113" s="120" t="s">
        <v>442</v>
      </c>
      <c r="R113" s="53"/>
      <c r="S113" s="53"/>
      <c r="T113" s="53"/>
      <c r="U113" s="53"/>
      <c r="V113" s="53"/>
      <c r="W113" s="53"/>
      <c r="X113" s="53"/>
      <c r="Y113" s="53"/>
      <c r="Z113" s="53"/>
      <c r="AA113" s="53"/>
      <c r="AB113" s="53"/>
      <c r="AC113" s="53"/>
      <c r="AD113" s="422" t="s">
        <v>210</v>
      </c>
      <c r="AE113" s="428"/>
      <c r="AF113" s="429"/>
      <c r="AG113" s="53"/>
      <c r="AH113" s="53"/>
      <c r="AI113" s="53"/>
      <c r="AJ113" s="53"/>
      <c r="AK113" s="53"/>
      <c r="AL113" s="54"/>
    </row>
    <row r="114" spans="2:38" ht="18" customHeight="1" x14ac:dyDescent="0.15">
      <c r="B114" s="122"/>
      <c r="C114" s="123"/>
      <c r="D114" s="123"/>
      <c r="E114" s="123"/>
      <c r="F114" s="123"/>
      <c r="G114" s="123"/>
      <c r="H114" s="123"/>
      <c r="I114" s="440" t="s">
        <v>539</v>
      </c>
      <c r="J114" s="440"/>
      <c r="K114" s="440"/>
      <c r="L114" s="440"/>
      <c r="M114" s="440"/>
      <c r="N114" s="440"/>
      <c r="O114" s="440"/>
      <c r="P114" s="440"/>
      <c r="Q114" s="125"/>
      <c r="R114" s="38"/>
      <c r="S114" s="38"/>
      <c r="T114" s="38"/>
      <c r="U114" s="38"/>
      <c r="V114" s="38"/>
      <c r="W114" s="38"/>
      <c r="X114" s="38"/>
      <c r="Y114" s="38"/>
      <c r="Z114" s="38"/>
      <c r="AA114" s="38"/>
      <c r="AB114" s="38"/>
      <c r="AC114" s="39"/>
      <c r="AD114" s="431" t="s">
        <v>551</v>
      </c>
      <c r="AE114" s="432"/>
      <c r="AF114" s="433"/>
      <c r="AG114" s="37"/>
      <c r="AH114" s="38"/>
      <c r="AI114" s="38"/>
      <c r="AJ114" s="38"/>
      <c r="AK114" s="38"/>
      <c r="AL114" s="39"/>
    </row>
    <row r="115" spans="2:38" ht="18" customHeight="1" x14ac:dyDescent="0.15">
      <c r="B115" s="122"/>
      <c r="C115" s="123"/>
      <c r="D115" s="123"/>
      <c r="E115" s="123"/>
      <c r="F115" s="123"/>
      <c r="G115" s="123"/>
      <c r="H115" s="123"/>
      <c r="I115" s="122"/>
      <c r="J115" s="466" t="s">
        <v>550</v>
      </c>
      <c r="K115" s="467"/>
      <c r="L115" s="467"/>
      <c r="M115" s="467"/>
      <c r="N115" s="467"/>
      <c r="O115" s="467"/>
      <c r="P115" s="467"/>
      <c r="Q115" s="122" t="s">
        <v>540</v>
      </c>
      <c r="R115" s="123"/>
      <c r="S115" s="123"/>
      <c r="T115" s="123"/>
      <c r="U115" s="123"/>
      <c r="V115" s="123"/>
      <c r="W115" s="123"/>
      <c r="X115" s="123"/>
      <c r="Y115" s="123"/>
      <c r="Z115" s="123"/>
      <c r="AA115" s="123"/>
      <c r="AB115" s="123"/>
      <c r="AC115" s="124"/>
      <c r="AD115" s="434"/>
      <c r="AE115" s="435"/>
      <c r="AF115" s="436"/>
      <c r="AG115" s="122"/>
      <c r="AH115" s="123"/>
      <c r="AI115" s="123"/>
      <c r="AJ115" s="123"/>
      <c r="AK115" s="123"/>
      <c r="AL115" s="124"/>
    </row>
    <row r="116" spans="2:38" ht="18" customHeight="1" x14ac:dyDescent="0.15">
      <c r="B116" s="122"/>
      <c r="C116" s="123"/>
      <c r="D116" s="123"/>
      <c r="E116" s="123"/>
      <c r="F116" s="123"/>
      <c r="G116" s="123"/>
      <c r="H116" s="123"/>
      <c r="I116" s="40"/>
      <c r="J116" s="468" t="s">
        <v>549</v>
      </c>
      <c r="K116" s="469"/>
      <c r="L116" s="469"/>
      <c r="M116" s="469"/>
      <c r="N116" s="469"/>
      <c r="O116" s="469"/>
      <c r="P116" s="469"/>
      <c r="Q116" s="40"/>
      <c r="R116" s="41"/>
      <c r="S116" s="41"/>
      <c r="T116" s="41"/>
      <c r="U116" s="41"/>
      <c r="V116" s="41"/>
      <c r="W116" s="41"/>
      <c r="X116" s="41"/>
      <c r="Y116" s="41"/>
      <c r="Z116" s="41"/>
      <c r="AA116" s="41"/>
      <c r="AB116" s="41"/>
      <c r="AC116" s="42"/>
      <c r="AD116" s="437"/>
      <c r="AE116" s="438"/>
      <c r="AF116" s="439"/>
      <c r="AG116" s="40"/>
      <c r="AH116" s="41"/>
      <c r="AI116" s="41"/>
      <c r="AJ116" s="41"/>
      <c r="AK116" s="41"/>
      <c r="AL116" s="42"/>
    </row>
    <row r="117" spans="2:38" ht="18" customHeight="1" x14ac:dyDescent="0.15">
      <c r="B117" s="122"/>
      <c r="C117" s="123"/>
      <c r="D117" s="123"/>
      <c r="E117" s="123"/>
      <c r="F117" s="123"/>
      <c r="G117" s="123"/>
      <c r="H117" s="123"/>
      <c r="I117" s="493" t="s">
        <v>443</v>
      </c>
      <c r="J117" s="493"/>
      <c r="K117" s="493"/>
      <c r="L117" s="493"/>
      <c r="M117" s="493"/>
      <c r="N117" s="493"/>
      <c r="O117" s="493"/>
      <c r="P117" s="493"/>
      <c r="Q117" s="404" t="s">
        <v>542</v>
      </c>
      <c r="R117" s="405"/>
      <c r="S117" s="405"/>
      <c r="T117" s="405"/>
      <c r="U117" s="405"/>
      <c r="V117" s="405"/>
      <c r="W117" s="405"/>
      <c r="X117" s="405"/>
      <c r="Y117" s="405"/>
      <c r="Z117" s="405"/>
      <c r="AA117" s="405"/>
      <c r="AB117" s="405"/>
      <c r="AC117" s="406"/>
      <c r="AD117" s="431" t="s">
        <v>552</v>
      </c>
      <c r="AE117" s="495"/>
      <c r="AF117" s="496"/>
      <c r="AG117" s="37"/>
      <c r="AH117" s="38"/>
      <c r="AI117" s="38"/>
      <c r="AJ117" s="38"/>
      <c r="AK117" s="38"/>
      <c r="AL117" s="39"/>
    </row>
    <row r="118" spans="2:38" ht="18" customHeight="1" x14ac:dyDescent="0.15">
      <c r="B118" s="122"/>
      <c r="C118" s="123"/>
      <c r="D118" s="123"/>
      <c r="E118" s="123"/>
      <c r="F118" s="123"/>
      <c r="G118" s="123"/>
      <c r="H118" s="123"/>
      <c r="I118" s="494" t="s">
        <v>541</v>
      </c>
      <c r="J118" s="494"/>
      <c r="K118" s="494"/>
      <c r="L118" s="494"/>
      <c r="M118" s="494"/>
      <c r="N118" s="494"/>
      <c r="O118" s="494"/>
      <c r="P118" s="494"/>
      <c r="Q118" s="410"/>
      <c r="R118" s="411"/>
      <c r="S118" s="411"/>
      <c r="T118" s="411"/>
      <c r="U118" s="411"/>
      <c r="V118" s="411"/>
      <c r="W118" s="411"/>
      <c r="X118" s="411"/>
      <c r="Y118" s="411"/>
      <c r="Z118" s="411"/>
      <c r="AA118" s="411"/>
      <c r="AB118" s="411"/>
      <c r="AC118" s="412"/>
      <c r="AD118" s="497"/>
      <c r="AE118" s="498"/>
      <c r="AF118" s="499"/>
      <c r="AG118" s="40"/>
      <c r="AH118" s="41"/>
      <c r="AI118" s="41"/>
      <c r="AJ118" s="41"/>
      <c r="AK118" s="41"/>
      <c r="AL118" s="42"/>
    </row>
    <row r="119" spans="2:38" ht="9" customHeight="1" x14ac:dyDescent="0.15">
      <c r="B119" s="122"/>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c r="AC119" s="123"/>
      <c r="AD119" s="123"/>
      <c r="AE119" s="123"/>
      <c r="AF119" s="123"/>
      <c r="AG119" s="123"/>
      <c r="AH119" s="123"/>
      <c r="AI119" s="123"/>
      <c r="AJ119" s="123"/>
      <c r="AK119" s="123"/>
      <c r="AL119" s="124"/>
    </row>
    <row r="120" spans="2:38" ht="18" customHeight="1" x14ac:dyDescent="0.15">
      <c r="B120" s="122"/>
      <c r="C120" s="123"/>
      <c r="D120" s="123"/>
      <c r="E120" s="123"/>
      <c r="F120" s="123"/>
      <c r="G120" s="123"/>
      <c r="H120" s="129" t="s">
        <v>556</v>
      </c>
      <c r="I120" s="413" t="s">
        <v>510</v>
      </c>
      <c r="J120" s="413"/>
      <c r="K120" s="413"/>
      <c r="L120" s="413"/>
      <c r="M120" s="413"/>
      <c r="N120" s="413"/>
      <c r="O120" s="413"/>
      <c r="P120" s="413"/>
      <c r="Q120" s="413" t="s">
        <v>511</v>
      </c>
      <c r="R120" s="413"/>
      <c r="S120" s="413"/>
      <c r="T120" s="413"/>
      <c r="U120" s="413"/>
      <c r="V120" s="413"/>
      <c r="W120" s="413"/>
      <c r="X120" s="413"/>
      <c r="Y120" s="413"/>
      <c r="Z120" s="413"/>
      <c r="AA120" s="413"/>
      <c r="AB120" s="413"/>
      <c r="AC120" s="413"/>
      <c r="AD120" s="422" t="s">
        <v>210</v>
      </c>
      <c r="AE120" s="423"/>
      <c r="AF120" s="424"/>
      <c r="AG120" s="415"/>
      <c r="AH120" s="415"/>
      <c r="AI120" s="415"/>
      <c r="AJ120" s="415"/>
      <c r="AK120" s="415"/>
      <c r="AL120" s="415"/>
    </row>
    <row r="121" spans="2:38" ht="18" customHeight="1" x14ac:dyDescent="0.15">
      <c r="B121" s="122"/>
      <c r="C121" s="123"/>
      <c r="D121" s="123"/>
      <c r="E121" s="123"/>
      <c r="F121" s="123"/>
      <c r="G121" s="123"/>
      <c r="H121" s="123"/>
      <c r="I121" s="430" t="s">
        <v>605</v>
      </c>
      <c r="J121" s="413"/>
      <c r="K121" s="413"/>
      <c r="L121" s="413"/>
      <c r="M121" s="413"/>
      <c r="N121" s="413"/>
      <c r="O121" s="413"/>
      <c r="P121" s="413"/>
      <c r="Q121" s="413" t="s">
        <v>543</v>
      </c>
      <c r="R121" s="413"/>
      <c r="S121" s="413"/>
      <c r="T121" s="413"/>
      <c r="U121" s="413"/>
      <c r="V121" s="413"/>
      <c r="W121" s="413"/>
      <c r="X121" s="413"/>
      <c r="Y121" s="413"/>
      <c r="Z121" s="413"/>
      <c r="AA121" s="413"/>
      <c r="AB121" s="413"/>
      <c r="AC121" s="413"/>
      <c r="AD121" s="415" t="s">
        <v>210</v>
      </c>
      <c r="AE121" s="415"/>
      <c r="AF121" s="415"/>
      <c r="AG121" s="416" t="s">
        <v>161</v>
      </c>
      <c r="AH121" s="417"/>
      <c r="AI121" s="417"/>
      <c r="AJ121" s="417"/>
      <c r="AK121" s="417"/>
      <c r="AL121" s="418"/>
    </row>
    <row r="122" spans="2:38" ht="18" hidden="1" customHeight="1" x14ac:dyDescent="0.15">
      <c r="B122" s="122"/>
      <c r="C122" s="123"/>
      <c r="D122" s="123"/>
      <c r="E122" s="123"/>
      <c r="F122" s="123"/>
      <c r="G122" s="123"/>
      <c r="H122" s="123"/>
      <c r="I122" s="404" t="s">
        <v>545</v>
      </c>
      <c r="J122" s="405"/>
      <c r="K122" s="405"/>
      <c r="L122" s="405"/>
      <c r="M122" s="405"/>
      <c r="N122" s="405"/>
      <c r="O122" s="405"/>
      <c r="P122" s="406"/>
      <c r="Q122" s="440" t="s">
        <v>544</v>
      </c>
      <c r="R122" s="440"/>
      <c r="S122" s="440"/>
      <c r="T122" s="440"/>
      <c r="U122" s="440"/>
      <c r="V122" s="440"/>
      <c r="W122" s="440"/>
      <c r="X122" s="440"/>
      <c r="Y122" s="440"/>
      <c r="Z122" s="440"/>
      <c r="AA122" s="440"/>
      <c r="AB122" s="440"/>
      <c r="AC122" s="440"/>
      <c r="AD122" s="37"/>
      <c r="AE122" s="38"/>
      <c r="AF122" s="39"/>
      <c r="AG122" s="37"/>
      <c r="AH122" s="38"/>
      <c r="AI122" s="38"/>
      <c r="AJ122" s="38"/>
      <c r="AK122" s="38"/>
      <c r="AL122" s="39"/>
    </row>
    <row r="123" spans="2:38" ht="18" hidden="1" customHeight="1" x14ac:dyDescent="0.15">
      <c r="B123" s="122"/>
      <c r="C123" s="123"/>
      <c r="D123" s="123"/>
      <c r="E123" s="123"/>
      <c r="F123" s="123"/>
      <c r="G123" s="123"/>
      <c r="H123" s="123"/>
      <c r="I123" s="407"/>
      <c r="J123" s="408"/>
      <c r="K123" s="408"/>
      <c r="L123" s="408"/>
      <c r="M123" s="408"/>
      <c r="N123" s="408"/>
      <c r="O123" s="408"/>
      <c r="P123" s="409"/>
      <c r="Q123" s="513" t="s">
        <v>514</v>
      </c>
      <c r="R123" s="514"/>
      <c r="S123" s="514"/>
      <c r="T123" s="514"/>
      <c r="U123" s="514"/>
      <c r="V123" s="514"/>
      <c r="W123" s="514"/>
      <c r="X123" s="514"/>
      <c r="Y123" s="514"/>
      <c r="Z123" s="514"/>
      <c r="AA123" s="514"/>
      <c r="AB123" s="514"/>
      <c r="AC123" s="514"/>
      <c r="AD123" s="122"/>
      <c r="AE123" s="123" t="s">
        <v>513</v>
      </c>
      <c r="AF123" s="124"/>
      <c r="AG123" s="122" t="s">
        <v>512</v>
      </c>
      <c r="AH123" s="123"/>
      <c r="AI123" s="123"/>
      <c r="AJ123" s="123"/>
      <c r="AK123" s="123"/>
      <c r="AL123" s="124"/>
    </row>
    <row r="124" spans="2:38" ht="18" hidden="1" customHeight="1" x14ac:dyDescent="0.15">
      <c r="B124" s="122"/>
      <c r="C124" s="123"/>
      <c r="D124" s="123"/>
      <c r="E124" s="123"/>
      <c r="F124" s="123"/>
      <c r="G124" s="123"/>
      <c r="H124" s="123"/>
      <c r="I124" s="407"/>
      <c r="J124" s="408"/>
      <c r="K124" s="408"/>
      <c r="L124" s="408"/>
      <c r="M124" s="408"/>
      <c r="N124" s="408"/>
      <c r="O124" s="408"/>
      <c r="P124" s="409"/>
      <c r="Q124" s="513" t="s">
        <v>515</v>
      </c>
      <c r="R124" s="514"/>
      <c r="S124" s="514"/>
      <c r="T124" s="514"/>
      <c r="U124" s="514"/>
      <c r="V124" s="514"/>
      <c r="W124" s="514"/>
      <c r="X124" s="514"/>
      <c r="Y124" s="514"/>
      <c r="Z124" s="514"/>
      <c r="AA124" s="514"/>
      <c r="AB124" s="514"/>
      <c r="AC124" s="514"/>
      <c r="AD124" s="122"/>
      <c r="AE124" s="123"/>
      <c r="AF124" s="124"/>
      <c r="AG124" s="122"/>
      <c r="AH124" s="123"/>
      <c r="AI124" s="123"/>
      <c r="AJ124" s="123"/>
      <c r="AK124" s="123"/>
      <c r="AL124" s="124"/>
    </row>
    <row r="125" spans="2:38" ht="18" hidden="1" customHeight="1" x14ac:dyDescent="0.15">
      <c r="B125" s="122"/>
      <c r="C125" s="123"/>
      <c r="D125" s="123"/>
      <c r="E125" s="123"/>
      <c r="F125" s="123"/>
      <c r="G125" s="123"/>
      <c r="H125" s="123"/>
      <c r="I125" s="410"/>
      <c r="J125" s="411"/>
      <c r="K125" s="411"/>
      <c r="L125" s="411"/>
      <c r="M125" s="411"/>
      <c r="N125" s="411"/>
      <c r="O125" s="411"/>
      <c r="P125" s="412"/>
      <c r="Q125" s="419" t="s">
        <v>516</v>
      </c>
      <c r="R125" s="420"/>
      <c r="S125" s="420"/>
      <c r="T125" s="420"/>
      <c r="U125" s="420"/>
      <c r="V125" s="420"/>
      <c r="W125" s="420"/>
      <c r="X125" s="420"/>
      <c r="Y125" s="420"/>
      <c r="Z125" s="420"/>
      <c r="AA125" s="420"/>
      <c r="AB125" s="420"/>
      <c r="AC125" s="420"/>
      <c r="AD125" s="40"/>
      <c r="AE125" s="41"/>
      <c r="AF125" s="42"/>
      <c r="AG125" s="40"/>
      <c r="AH125" s="41"/>
      <c r="AI125" s="41"/>
      <c r="AJ125" s="41"/>
      <c r="AK125" s="41"/>
      <c r="AL125" s="42"/>
    </row>
    <row r="126" spans="2:38" ht="18" customHeight="1" x14ac:dyDescent="0.15">
      <c r="B126" s="122"/>
      <c r="C126" s="123"/>
      <c r="D126" s="123"/>
      <c r="E126" s="123"/>
      <c r="F126" s="123"/>
      <c r="G126" s="123"/>
      <c r="H126" s="123"/>
      <c r="I126" s="413" t="s">
        <v>223</v>
      </c>
      <c r="J126" s="413"/>
      <c r="K126" s="413"/>
      <c r="L126" s="413"/>
      <c r="M126" s="413"/>
      <c r="N126" s="413"/>
      <c r="O126" s="413"/>
      <c r="P126" s="413"/>
      <c r="Q126" s="413" t="s">
        <v>517</v>
      </c>
      <c r="R126" s="421"/>
      <c r="S126" s="421"/>
      <c r="T126" s="421"/>
      <c r="U126" s="421"/>
      <c r="V126" s="421"/>
      <c r="W126" s="421"/>
      <c r="X126" s="421"/>
      <c r="Y126" s="421"/>
      <c r="Z126" s="421"/>
      <c r="AA126" s="421"/>
      <c r="AB126" s="421"/>
      <c r="AC126" s="421"/>
      <c r="AD126" s="415" t="s">
        <v>210</v>
      </c>
      <c r="AE126" s="415"/>
      <c r="AF126" s="415"/>
      <c r="AG126" s="415"/>
      <c r="AH126" s="415"/>
      <c r="AI126" s="415"/>
      <c r="AJ126" s="415"/>
      <c r="AK126" s="415"/>
      <c r="AL126" s="415"/>
    </row>
    <row r="127" spans="2:38" ht="18" hidden="1" customHeight="1" x14ac:dyDescent="0.15">
      <c r="B127" s="122"/>
      <c r="C127" s="123"/>
      <c r="D127" s="123"/>
      <c r="E127" s="123"/>
      <c r="F127" s="123"/>
      <c r="G127" s="123"/>
      <c r="H127" s="123"/>
      <c r="I127" s="413" t="s">
        <v>445</v>
      </c>
      <c r="J127" s="413"/>
      <c r="K127" s="413"/>
      <c r="L127" s="413"/>
      <c r="M127" s="413"/>
      <c r="N127" s="413"/>
      <c r="O127" s="413"/>
      <c r="P127" s="413"/>
      <c r="Q127" s="413" t="s">
        <v>446</v>
      </c>
      <c r="R127" s="421"/>
      <c r="S127" s="421"/>
      <c r="T127" s="421"/>
      <c r="U127" s="421"/>
      <c r="V127" s="421"/>
      <c r="W127" s="421"/>
      <c r="X127" s="421"/>
      <c r="Y127" s="421"/>
      <c r="Z127" s="421"/>
      <c r="AA127" s="421"/>
      <c r="AB127" s="421"/>
      <c r="AC127" s="421"/>
      <c r="AD127" s="415" t="s">
        <v>210</v>
      </c>
      <c r="AE127" s="415"/>
      <c r="AF127" s="415"/>
      <c r="AG127" s="415"/>
      <c r="AH127" s="415"/>
      <c r="AI127" s="415"/>
      <c r="AJ127" s="415"/>
      <c r="AK127" s="415"/>
      <c r="AL127" s="415"/>
    </row>
    <row r="128" spans="2:38" ht="18" customHeight="1" x14ac:dyDescent="0.15">
      <c r="B128" s="122"/>
      <c r="C128" s="123"/>
      <c r="D128" s="123"/>
      <c r="E128" s="123"/>
      <c r="F128" s="123"/>
      <c r="G128" s="123"/>
      <c r="H128" s="123"/>
      <c r="I128" s="413" t="s">
        <v>546</v>
      </c>
      <c r="J128" s="413"/>
      <c r="K128" s="413"/>
      <c r="L128" s="413"/>
      <c r="M128" s="413"/>
      <c r="N128" s="413"/>
      <c r="O128" s="413"/>
      <c r="P128" s="413"/>
      <c r="Q128" s="413" t="s">
        <v>547</v>
      </c>
      <c r="R128" s="421"/>
      <c r="S128" s="421"/>
      <c r="T128" s="421"/>
      <c r="U128" s="421"/>
      <c r="V128" s="421"/>
      <c r="W128" s="421"/>
      <c r="X128" s="421"/>
      <c r="Y128" s="421"/>
      <c r="Z128" s="421"/>
      <c r="AA128" s="421"/>
      <c r="AB128" s="421"/>
      <c r="AC128" s="421"/>
      <c r="AD128" s="415" t="s">
        <v>210</v>
      </c>
      <c r="AE128" s="415"/>
      <c r="AF128" s="415"/>
      <c r="AG128" s="415"/>
      <c r="AH128" s="415"/>
      <c r="AI128" s="415"/>
      <c r="AJ128" s="415"/>
      <c r="AK128" s="415"/>
      <c r="AL128" s="415"/>
    </row>
    <row r="129" spans="2:38" ht="36" hidden="1" customHeight="1" x14ac:dyDescent="0.15">
      <c r="B129" s="122"/>
      <c r="C129" s="123"/>
      <c r="D129" s="123"/>
      <c r="E129" s="123"/>
      <c r="F129" s="123"/>
      <c r="G129" s="123"/>
      <c r="H129" s="123"/>
      <c r="I129" s="413" t="s">
        <v>447</v>
      </c>
      <c r="J129" s="413"/>
      <c r="K129" s="413"/>
      <c r="L129" s="413"/>
      <c r="M129" s="413"/>
      <c r="N129" s="413"/>
      <c r="O129" s="413"/>
      <c r="P129" s="413"/>
      <c r="Q129" s="413" t="s">
        <v>448</v>
      </c>
      <c r="R129" s="421"/>
      <c r="S129" s="421"/>
      <c r="T129" s="421"/>
      <c r="U129" s="421"/>
      <c r="V129" s="421"/>
      <c r="W129" s="421"/>
      <c r="X129" s="421"/>
      <c r="Y129" s="421"/>
      <c r="Z129" s="421"/>
      <c r="AA129" s="421"/>
      <c r="AB129" s="421"/>
      <c r="AC129" s="421"/>
      <c r="AD129" s="414" t="s">
        <v>456</v>
      </c>
      <c r="AE129" s="415"/>
      <c r="AF129" s="415"/>
      <c r="AG129" s="415"/>
      <c r="AH129" s="415"/>
      <c r="AI129" s="415"/>
      <c r="AJ129" s="415"/>
      <c r="AK129" s="415"/>
      <c r="AL129" s="415"/>
    </row>
    <row r="130" spans="2:38" ht="18" customHeight="1" x14ac:dyDescent="0.15">
      <c r="B130" s="130" t="s">
        <v>504</v>
      </c>
      <c r="C130" s="131"/>
      <c r="D130" s="131"/>
      <c r="E130" s="131"/>
      <c r="F130" s="131"/>
      <c r="G130" s="131"/>
      <c r="H130" s="132"/>
      <c r="I130" s="523" t="s">
        <v>160</v>
      </c>
      <c r="J130" s="524"/>
      <c r="K130" s="524"/>
      <c r="L130" s="524"/>
      <c r="M130" s="524"/>
      <c r="N130" s="524"/>
      <c r="O130" s="524"/>
      <c r="P130" s="525"/>
      <c r="Q130" s="404" t="s">
        <v>150</v>
      </c>
      <c r="R130" s="405"/>
      <c r="S130" s="405"/>
      <c r="T130" s="405"/>
      <c r="U130" s="405"/>
      <c r="V130" s="405"/>
      <c r="W130" s="405"/>
      <c r="X130" s="405"/>
      <c r="Y130" s="405"/>
      <c r="Z130" s="405"/>
      <c r="AA130" s="405"/>
      <c r="AB130" s="405"/>
      <c r="AC130" s="406"/>
      <c r="AD130" s="450"/>
      <c r="AE130" s="432"/>
      <c r="AF130" s="433"/>
      <c r="AG130" s="37"/>
      <c r="AH130" s="38"/>
      <c r="AI130" s="38"/>
      <c r="AJ130" s="38"/>
      <c r="AK130" s="38"/>
      <c r="AL130" s="39"/>
    </row>
    <row r="131" spans="2:38" ht="18" customHeight="1" x14ac:dyDescent="0.15">
      <c r="B131" s="133"/>
      <c r="C131" s="134"/>
      <c r="D131" s="134"/>
      <c r="E131" s="134"/>
      <c r="F131" s="134"/>
      <c r="G131" s="134"/>
      <c r="H131" s="135"/>
      <c r="I131" s="534"/>
      <c r="J131" s="535"/>
      <c r="K131" s="535"/>
      <c r="L131" s="535"/>
      <c r="M131" s="535"/>
      <c r="N131" s="535"/>
      <c r="O131" s="535"/>
      <c r="P131" s="536"/>
      <c r="Q131" s="410"/>
      <c r="R131" s="411"/>
      <c r="S131" s="411"/>
      <c r="T131" s="411"/>
      <c r="U131" s="411"/>
      <c r="V131" s="411"/>
      <c r="W131" s="411"/>
      <c r="X131" s="411"/>
      <c r="Y131" s="411"/>
      <c r="Z131" s="411"/>
      <c r="AA131" s="411"/>
      <c r="AB131" s="411"/>
      <c r="AC131" s="412"/>
      <c r="AD131" s="437"/>
      <c r="AE131" s="438"/>
      <c r="AF131" s="439"/>
      <c r="AG131" s="40"/>
      <c r="AH131" s="41"/>
      <c r="AI131" s="41"/>
      <c r="AJ131" s="41"/>
      <c r="AK131" s="41"/>
      <c r="AL131" s="42"/>
    </row>
    <row r="132" spans="2:38" ht="15" hidden="1" customHeight="1" x14ac:dyDescent="0.15">
      <c r="B132" s="133"/>
      <c r="C132" s="134"/>
      <c r="D132" s="134"/>
      <c r="E132" s="134"/>
      <c r="F132" s="134"/>
      <c r="G132" s="134"/>
      <c r="H132" s="135"/>
      <c r="I132" s="416" t="s">
        <v>518</v>
      </c>
      <c r="J132" s="417"/>
      <c r="K132" s="417"/>
      <c r="L132" s="417"/>
      <c r="M132" s="417"/>
      <c r="N132" s="417"/>
      <c r="O132" s="417"/>
      <c r="P132" s="418"/>
      <c r="Q132" s="416" t="s">
        <v>519</v>
      </c>
      <c r="R132" s="417"/>
      <c r="S132" s="417"/>
      <c r="T132" s="417"/>
      <c r="U132" s="417"/>
      <c r="V132" s="417"/>
      <c r="W132" s="417"/>
      <c r="X132" s="417"/>
      <c r="Y132" s="417"/>
      <c r="Z132" s="417"/>
      <c r="AA132" s="417"/>
      <c r="AB132" s="417"/>
      <c r="AC132" s="418"/>
      <c r="AD132" s="422"/>
      <c r="AE132" s="428"/>
      <c r="AF132" s="429"/>
      <c r="AG132" s="52"/>
      <c r="AH132" s="53"/>
      <c r="AI132" s="53"/>
      <c r="AJ132" s="53"/>
      <c r="AK132" s="53"/>
      <c r="AL132" s="54"/>
    </row>
    <row r="133" spans="2:38" ht="18" customHeight="1" x14ac:dyDescent="0.15">
      <c r="B133" s="133"/>
      <c r="C133" s="134"/>
      <c r="D133" s="134"/>
      <c r="E133" s="134"/>
      <c r="F133" s="134"/>
      <c r="G133" s="134"/>
      <c r="H133" s="135"/>
      <c r="I133" s="416" t="s">
        <v>151</v>
      </c>
      <c r="J133" s="417"/>
      <c r="K133" s="417"/>
      <c r="L133" s="417"/>
      <c r="M133" s="417"/>
      <c r="N133" s="417"/>
      <c r="O133" s="417"/>
      <c r="P133" s="418"/>
      <c r="Q133" s="416" t="s">
        <v>157</v>
      </c>
      <c r="R133" s="417"/>
      <c r="S133" s="417"/>
      <c r="T133" s="417"/>
      <c r="U133" s="417"/>
      <c r="V133" s="417"/>
      <c r="W133" s="417"/>
      <c r="X133" s="417"/>
      <c r="Y133" s="417"/>
      <c r="Z133" s="417"/>
      <c r="AA133" s="417"/>
      <c r="AB133" s="417"/>
      <c r="AC133" s="418"/>
      <c r="AD133" s="422" t="s">
        <v>211</v>
      </c>
      <c r="AE133" s="428"/>
      <c r="AF133" s="429"/>
      <c r="AG133" s="52" t="s">
        <v>162</v>
      </c>
      <c r="AH133" s="53"/>
      <c r="AI133" s="53"/>
      <c r="AJ133" s="53"/>
      <c r="AK133" s="53"/>
      <c r="AL133" s="54"/>
    </row>
    <row r="134" spans="2:38" ht="15" customHeight="1" x14ac:dyDescent="0.15">
      <c r="B134" s="133"/>
      <c r="C134" s="134"/>
      <c r="D134" s="134"/>
      <c r="E134" s="134"/>
      <c r="F134" s="134"/>
      <c r="G134" s="134"/>
      <c r="H134" s="135"/>
      <c r="I134" s="454" t="s">
        <v>605</v>
      </c>
      <c r="J134" s="455"/>
      <c r="K134" s="455"/>
      <c r="L134" s="455"/>
      <c r="M134" s="455"/>
      <c r="N134" s="455"/>
      <c r="O134" s="455"/>
      <c r="P134" s="456"/>
      <c r="Q134" s="457" t="s">
        <v>521</v>
      </c>
      <c r="R134" s="458"/>
      <c r="S134" s="458"/>
      <c r="T134" s="458"/>
      <c r="U134" s="458"/>
      <c r="V134" s="458"/>
      <c r="W134" s="458"/>
      <c r="X134" s="458"/>
      <c r="Y134" s="458"/>
      <c r="Z134" s="458"/>
      <c r="AA134" s="458"/>
      <c r="AB134" s="458"/>
      <c r="AC134" s="459"/>
      <c r="AD134" s="479"/>
      <c r="AE134" s="480"/>
      <c r="AF134" s="481"/>
      <c r="AG134" s="141" t="s">
        <v>553</v>
      </c>
      <c r="AH134" s="139"/>
      <c r="AI134" s="139"/>
      <c r="AJ134" s="139"/>
      <c r="AK134" s="139"/>
      <c r="AL134" s="140"/>
    </row>
    <row r="135" spans="2:38" ht="18" customHeight="1" x14ac:dyDescent="0.15">
      <c r="B135" s="133"/>
      <c r="C135" s="134"/>
      <c r="D135" s="134"/>
      <c r="E135" s="134"/>
      <c r="F135" s="134"/>
      <c r="G135" s="134"/>
      <c r="H135" s="135"/>
      <c r="I135" s="416" t="s">
        <v>450</v>
      </c>
      <c r="J135" s="417"/>
      <c r="K135" s="417"/>
      <c r="L135" s="417"/>
      <c r="M135" s="417"/>
      <c r="N135" s="417"/>
      <c r="O135" s="417"/>
      <c r="P135" s="418"/>
      <c r="Q135" s="416" t="s">
        <v>197</v>
      </c>
      <c r="R135" s="417"/>
      <c r="S135" s="417"/>
      <c r="T135" s="417"/>
      <c r="U135" s="417"/>
      <c r="V135" s="417"/>
      <c r="W135" s="417"/>
      <c r="X135" s="417"/>
      <c r="Y135" s="417"/>
      <c r="Z135" s="417"/>
      <c r="AA135" s="417"/>
      <c r="AB135" s="417"/>
      <c r="AC135" s="418"/>
      <c r="AD135" s="422" t="s">
        <v>210</v>
      </c>
      <c r="AE135" s="428"/>
      <c r="AF135" s="429"/>
      <c r="AG135" s="52" t="s">
        <v>161</v>
      </c>
      <c r="AH135" s="53"/>
      <c r="AI135" s="53"/>
      <c r="AJ135" s="53"/>
      <c r="AK135" s="53"/>
      <c r="AL135" s="54"/>
    </row>
    <row r="136" spans="2:38" ht="18" customHeight="1" x14ac:dyDescent="0.15">
      <c r="B136" s="133"/>
      <c r="C136" s="134"/>
      <c r="D136" s="134"/>
      <c r="E136" s="134"/>
      <c r="F136" s="134"/>
      <c r="G136" s="134"/>
      <c r="H136" s="135"/>
      <c r="I136" s="404" t="s">
        <v>153</v>
      </c>
      <c r="J136" s="405"/>
      <c r="K136" s="405"/>
      <c r="L136" s="405"/>
      <c r="M136" s="405"/>
      <c r="N136" s="405"/>
      <c r="O136" s="405"/>
      <c r="P136" s="406"/>
      <c r="Q136" s="404" t="s">
        <v>198</v>
      </c>
      <c r="R136" s="405"/>
      <c r="S136" s="405"/>
      <c r="T136" s="405"/>
      <c r="U136" s="405"/>
      <c r="V136" s="405"/>
      <c r="W136" s="405"/>
      <c r="X136" s="405"/>
      <c r="Y136" s="405"/>
      <c r="Z136" s="405"/>
      <c r="AA136" s="405"/>
      <c r="AB136" s="405"/>
      <c r="AC136" s="406"/>
      <c r="AD136" s="431" t="s">
        <v>530</v>
      </c>
      <c r="AE136" s="482"/>
      <c r="AF136" s="483"/>
      <c r="AG136" s="404" t="s">
        <v>161</v>
      </c>
      <c r="AH136" s="405"/>
      <c r="AI136" s="405"/>
      <c r="AJ136" s="405"/>
      <c r="AK136" s="405"/>
      <c r="AL136" s="406"/>
    </row>
    <row r="137" spans="2:38" ht="18" customHeight="1" x14ac:dyDescent="0.15">
      <c r="B137" s="133"/>
      <c r="C137" s="134"/>
      <c r="D137" s="134"/>
      <c r="E137" s="134"/>
      <c r="F137" s="134"/>
      <c r="G137" s="134"/>
      <c r="H137" s="135"/>
      <c r="I137" s="410"/>
      <c r="J137" s="411"/>
      <c r="K137" s="411"/>
      <c r="L137" s="411"/>
      <c r="M137" s="411"/>
      <c r="N137" s="411"/>
      <c r="O137" s="411"/>
      <c r="P137" s="412"/>
      <c r="Q137" s="410" t="s">
        <v>548</v>
      </c>
      <c r="R137" s="411"/>
      <c r="S137" s="411"/>
      <c r="T137" s="411"/>
      <c r="U137" s="411"/>
      <c r="V137" s="411"/>
      <c r="W137" s="411"/>
      <c r="X137" s="411"/>
      <c r="Y137" s="411"/>
      <c r="Z137" s="411"/>
      <c r="AA137" s="411"/>
      <c r="AB137" s="411"/>
      <c r="AC137" s="412"/>
      <c r="AD137" s="484"/>
      <c r="AE137" s="485"/>
      <c r="AF137" s="486"/>
      <c r="AG137" s="410"/>
      <c r="AH137" s="411"/>
      <c r="AI137" s="411"/>
      <c r="AJ137" s="411"/>
      <c r="AK137" s="411"/>
      <c r="AL137" s="412"/>
    </row>
    <row r="138" spans="2:38" ht="18" customHeight="1" x14ac:dyDescent="0.15">
      <c r="B138" s="133"/>
      <c r="C138" s="134"/>
      <c r="D138" s="134"/>
      <c r="E138" s="134"/>
      <c r="F138" s="134"/>
      <c r="G138" s="134"/>
      <c r="H138" s="135"/>
      <c r="I138" s="416" t="s">
        <v>152</v>
      </c>
      <c r="J138" s="417"/>
      <c r="K138" s="417"/>
      <c r="L138" s="417"/>
      <c r="M138" s="417"/>
      <c r="N138" s="417"/>
      <c r="O138" s="417"/>
      <c r="P138" s="418"/>
      <c r="Q138" s="416" t="s">
        <v>158</v>
      </c>
      <c r="R138" s="417"/>
      <c r="S138" s="417"/>
      <c r="T138" s="417"/>
      <c r="U138" s="417"/>
      <c r="V138" s="417"/>
      <c r="W138" s="417"/>
      <c r="X138" s="417"/>
      <c r="Y138" s="417"/>
      <c r="Z138" s="417"/>
      <c r="AA138" s="417"/>
      <c r="AB138" s="417"/>
      <c r="AC138" s="418"/>
      <c r="AD138" s="422" t="s">
        <v>211</v>
      </c>
      <c r="AE138" s="428"/>
      <c r="AF138" s="429"/>
      <c r="AG138" s="52"/>
      <c r="AH138" s="53"/>
      <c r="AI138" s="53"/>
      <c r="AJ138" s="53"/>
      <c r="AK138" s="53"/>
      <c r="AL138" s="54"/>
    </row>
    <row r="139" spans="2:38" ht="18" customHeight="1" x14ac:dyDescent="0.15">
      <c r="B139" s="133"/>
      <c r="C139" s="134"/>
      <c r="D139" s="134"/>
      <c r="E139" s="134"/>
      <c r="F139" s="134"/>
      <c r="G139" s="134"/>
      <c r="H139" s="135"/>
      <c r="I139" s="416" t="s">
        <v>452</v>
      </c>
      <c r="J139" s="417"/>
      <c r="K139" s="417"/>
      <c r="L139" s="417"/>
      <c r="M139" s="417"/>
      <c r="N139" s="417"/>
      <c r="O139" s="417"/>
      <c r="P139" s="418"/>
      <c r="Q139" s="416" t="s">
        <v>453</v>
      </c>
      <c r="R139" s="417"/>
      <c r="S139" s="417"/>
      <c r="T139" s="417"/>
      <c r="U139" s="417"/>
      <c r="V139" s="417"/>
      <c r="W139" s="417"/>
      <c r="X139" s="417"/>
      <c r="Y139" s="417"/>
      <c r="Z139" s="417"/>
      <c r="AA139" s="417"/>
      <c r="AB139" s="417"/>
      <c r="AC139" s="418"/>
      <c r="AD139" s="422"/>
      <c r="AE139" s="428"/>
      <c r="AF139" s="429"/>
      <c r="AG139" s="416" t="s">
        <v>228</v>
      </c>
      <c r="AH139" s="417"/>
      <c r="AI139" s="417"/>
      <c r="AJ139" s="417"/>
      <c r="AK139" s="417"/>
      <c r="AL139" s="418"/>
    </row>
    <row r="140" spans="2:38" ht="18" customHeight="1" x14ac:dyDescent="0.15">
      <c r="B140" s="133"/>
      <c r="C140" s="134"/>
      <c r="D140" s="134"/>
      <c r="E140" s="134"/>
      <c r="F140" s="134"/>
      <c r="G140" s="134"/>
      <c r="H140" s="135"/>
      <c r="I140" s="451" t="s">
        <v>149</v>
      </c>
      <c r="J140" s="452"/>
      <c r="K140" s="452"/>
      <c r="L140" s="452"/>
      <c r="M140" s="452"/>
      <c r="N140" s="452"/>
      <c r="O140" s="452"/>
      <c r="P140" s="453"/>
      <c r="Q140" s="457" t="s">
        <v>451</v>
      </c>
      <c r="R140" s="458"/>
      <c r="S140" s="458"/>
      <c r="T140" s="458"/>
      <c r="U140" s="458"/>
      <c r="V140" s="458"/>
      <c r="W140" s="458"/>
      <c r="X140" s="458"/>
      <c r="Y140" s="458"/>
      <c r="Z140" s="458"/>
      <c r="AA140" s="458"/>
      <c r="AB140" s="458"/>
      <c r="AC140" s="459"/>
      <c r="AD140" s="476"/>
      <c r="AE140" s="477"/>
      <c r="AF140" s="478"/>
      <c r="AG140" s="141" t="s">
        <v>553</v>
      </c>
      <c r="AH140" s="142"/>
      <c r="AI140" s="142"/>
      <c r="AJ140" s="142"/>
      <c r="AK140" s="142"/>
      <c r="AL140" s="143"/>
    </row>
    <row r="141" spans="2:38" ht="18" customHeight="1" x14ac:dyDescent="0.15">
      <c r="B141" s="133"/>
      <c r="C141" s="134"/>
      <c r="D141" s="134"/>
      <c r="E141" s="134"/>
      <c r="F141" s="134"/>
      <c r="G141" s="134"/>
      <c r="H141" s="135"/>
      <c r="I141" s="451" t="s">
        <v>317</v>
      </c>
      <c r="J141" s="452"/>
      <c r="K141" s="452"/>
      <c r="L141" s="452"/>
      <c r="M141" s="452"/>
      <c r="N141" s="452"/>
      <c r="O141" s="452"/>
      <c r="P141" s="453"/>
      <c r="Q141" s="457" t="s">
        <v>451</v>
      </c>
      <c r="R141" s="458"/>
      <c r="S141" s="458"/>
      <c r="T141" s="458"/>
      <c r="U141" s="458"/>
      <c r="V141" s="458"/>
      <c r="W141" s="458"/>
      <c r="X141" s="458"/>
      <c r="Y141" s="458"/>
      <c r="Z141" s="458"/>
      <c r="AA141" s="458"/>
      <c r="AB141" s="458"/>
      <c r="AC141" s="459"/>
      <c r="AD141" s="476"/>
      <c r="AE141" s="477"/>
      <c r="AF141" s="478"/>
      <c r="AG141" s="141" t="s">
        <v>553</v>
      </c>
      <c r="AH141" s="142"/>
      <c r="AI141" s="142"/>
      <c r="AJ141" s="142"/>
      <c r="AK141" s="142"/>
      <c r="AL141" s="143"/>
    </row>
    <row r="142" spans="2:38" ht="18" hidden="1" customHeight="1" x14ac:dyDescent="0.15">
      <c r="B142" s="133"/>
      <c r="C142" s="134"/>
      <c r="D142" s="134"/>
      <c r="E142" s="134"/>
      <c r="F142" s="134"/>
      <c r="G142" s="134"/>
      <c r="H142" s="135"/>
      <c r="I142" s="404" t="s">
        <v>224</v>
      </c>
      <c r="J142" s="405"/>
      <c r="K142" s="405"/>
      <c r="L142" s="405"/>
      <c r="M142" s="405"/>
      <c r="N142" s="405"/>
      <c r="O142" s="405"/>
      <c r="P142" s="406"/>
      <c r="Q142" s="457" t="s">
        <v>318</v>
      </c>
      <c r="R142" s="458"/>
      <c r="S142" s="458"/>
      <c r="T142" s="458"/>
      <c r="U142" s="458"/>
      <c r="V142" s="458"/>
      <c r="W142" s="458"/>
      <c r="X142" s="458"/>
      <c r="Y142" s="458"/>
      <c r="Z142" s="458"/>
      <c r="AA142" s="458"/>
      <c r="AB142" s="458"/>
      <c r="AC142" s="459"/>
      <c r="AD142" s="450" t="s">
        <v>227</v>
      </c>
      <c r="AE142" s="432"/>
      <c r="AF142" s="433"/>
      <c r="AG142" s="404" t="s">
        <v>228</v>
      </c>
      <c r="AH142" s="405"/>
      <c r="AI142" s="405"/>
      <c r="AJ142" s="405"/>
      <c r="AK142" s="405"/>
      <c r="AL142" s="406"/>
    </row>
    <row r="143" spans="2:38" ht="18" hidden="1" customHeight="1" x14ac:dyDescent="0.15">
      <c r="B143" s="133"/>
      <c r="C143" s="134"/>
      <c r="D143" s="134"/>
      <c r="E143" s="134"/>
      <c r="F143" s="134"/>
      <c r="G143" s="134"/>
      <c r="H143" s="135"/>
      <c r="I143" s="410"/>
      <c r="J143" s="411"/>
      <c r="K143" s="411"/>
      <c r="L143" s="411"/>
      <c r="M143" s="411"/>
      <c r="N143" s="411"/>
      <c r="O143" s="411"/>
      <c r="P143" s="412"/>
      <c r="Q143" s="457"/>
      <c r="R143" s="458"/>
      <c r="S143" s="458"/>
      <c r="T143" s="458"/>
      <c r="U143" s="458"/>
      <c r="V143" s="458"/>
      <c r="W143" s="458"/>
      <c r="X143" s="458"/>
      <c r="Y143" s="458"/>
      <c r="Z143" s="458"/>
      <c r="AA143" s="458"/>
      <c r="AB143" s="458"/>
      <c r="AC143" s="459"/>
      <c r="AD143" s="437" t="s">
        <v>457</v>
      </c>
      <c r="AE143" s="438"/>
      <c r="AF143" s="439"/>
      <c r="AG143" s="410"/>
      <c r="AH143" s="411"/>
      <c r="AI143" s="411"/>
      <c r="AJ143" s="411"/>
      <c r="AK143" s="411"/>
      <c r="AL143" s="412"/>
    </row>
    <row r="144" spans="2:38" ht="18" customHeight="1" x14ac:dyDescent="0.15">
      <c r="B144" s="133"/>
      <c r="C144" s="134"/>
      <c r="D144" s="134"/>
      <c r="E144" s="134"/>
      <c r="F144" s="134"/>
      <c r="G144" s="134"/>
      <c r="H144" s="135"/>
      <c r="I144" s="533" t="s">
        <v>223</v>
      </c>
      <c r="J144" s="455"/>
      <c r="K144" s="455"/>
      <c r="L144" s="455"/>
      <c r="M144" s="455"/>
      <c r="N144" s="455"/>
      <c r="O144" s="455"/>
      <c r="P144" s="456"/>
      <c r="Q144" s="457" t="s">
        <v>451</v>
      </c>
      <c r="R144" s="458"/>
      <c r="S144" s="458"/>
      <c r="T144" s="458"/>
      <c r="U144" s="458"/>
      <c r="V144" s="458"/>
      <c r="W144" s="458"/>
      <c r="X144" s="458"/>
      <c r="Y144" s="458"/>
      <c r="Z144" s="458"/>
      <c r="AA144" s="458"/>
      <c r="AB144" s="458"/>
      <c r="AC144" s="459"/>
      <c r="AD144" s="479"/>
      <c r="AE144" s="480"/>
      <c r="AF144" s="481"/>
      <c r="AG144" s="141" t="s">
        <v>553</v>
      </c>
      <c r="AH144" s="139"/>
      <c r="AI144" s="139"/>
      <c r="AJ144" s="139"/>
      <c r="AK144" s="139"/>
      <c r="AL144" s="140"/>
    </row>
    <row r="145" spans="2:38" ht="18" customHeight="1" x14ac:dyDescent="0.15">
      <c r="B145" s="133"/>
      <c r="C145" s="134"/>
      <c r="D145" s="134"/>
      <c r="E145" s="134"/>
      <c r="F145" s="134"/>
      <c r="G145" s="134"/>
      <c r="H145" s="135"/>
      <c r="I145" s="416" t="s">
        <v>154</v>
      </c>
      <c r="J145" s="417"/>
      <c r="K145" s="417"/>
      <c r="L145" s="417"/>
      <c r="M145" s="417"/>
      <c r="N145" s="417"/>
      <c r="O145" s="417"/>
      <c r="P145" s="418"/>
      <c r="Q145" s="416" t="s">
        <v>569</v>
      </c>
      <c r="R145" s="417"/>
      <c r="S145" s="417"/>
      <c r="T145" s="417"/>
      <c r="U145" s="417"/>
      <c r="V145" s="417"/>
      <c r="W145" s="417"/>
      <c r="X145" s="417"/>
      <c r="Y145" s="417"/>
      <c r="Z145" s="417"/>
      <c r="AA145" s="417"/>
      <c r="AB145" s="417"/>
      <c r="AC145" s="418"/>
      <c r="AD145" s="422"/>
      <c r="AE145" s="428"/>
      <c r="AF145" s="429"/>
      <c r="AG145" s="52"/>
      <c r="AH145" s="53"/>
      <c r="AI145" s="53"/>
      <c r="AJ145" s="53"/>
      <c r="AK145" s="53"/>
      <c r="AL145" s="54"/>
    </row>
    <row r="146" spans="2:38" ht="18" customHeight="1" x14ac:dyDescent="0.15">
      <c r="B146" s="136"/>
      <c r="C146" s="137"/>
      <c r="D146" s="137"/>
      <c r="E146" s="137"/>
      <c r="F146" s="137"/>
      <c r="G146" s="137"/>
      <c r="H146" s="138"/>
      <c r="I146" s="416" t="s">
        <v>226</v>
      </c>
      <c r="J146" s="417"/>
      <c r="K146" s="417"/>
      <c r="L146" s="417"/>
      <c r="M146" s="417"/>
      <c r="N146" s="417"/>
      <c r="O146" s="417"/>
      <c r="P146" s="418"/>
      <c r="Q146" s="416" t="s">
        <v>159</v>
      </c>
      <c r="R146" s="417"/>
      <c r="S146" s="417"/>
      <c r="T146" s="417"/>
      <c r="U146" s="417"/>
      <c r="V146" s="417"/>
      <c r="W146" s="417"/>
      <c r="X146" s="417"/>
      <c r="Y146" s="417"/>
      <c r="Z146" s="417"/>
      <c r="AA146" s="417"/>
      <c r="AB146" s="417"/>
      <c r="AC146" s="418"/>
      <c r="AD146" s="422"/>
      <c r="AE146" s="428"/>
      <c r="AF146" s="429"/>
      <c r="AG146" s="52"/>
      <c r="AH146" s="53"/>
      <c r="AI146" s="53"/>
      <c r="AJ146" s="53"/>
      <c r="AK146" s="53"/>
      <c r="AL146" s="54"/>
    </row>
    <row r="147" spans="2:38" ht="15" customHeight="1" x14ac:dyDescent="0.15">
      <c r="B147" s="32"/>
    </row>
    <row r="148" spans="2:38" ht="15" customHeight="1" x14ac:dyDescent="0.15">
      <c r="B148" s="31" t="s">
        <v>557</v>
      </c>
    </row>
    <row r="149" spans="2:38" ht="15" customHeight="1" x14ac:dyDescent="0.15">
      <c r="C149" s="311" t="s">
        <v>638</v>
      </c>
    </row>
    <row r="150" spans="2:38" ht="15" customHeight="1" x14ac:dyDescent="0.15">
      <c r="C150" s="311" t="s">
        <v>533</v>
      </c>
    </row>
    <row r="151" spans="2:38" ht="15" customHeight="1" x14ac:dyDescent="0.15"/>
    <row r="152" spans="2:38" ht="15" customHeight="1" x14ac:dyDescent="0.15">
      <c r="B152" s="31" t="s">
        <v>558</v>
      </c>
    </row>
    <row r="153" spans="2:38" ht="15" customHeight="1" x14ac:dyDescent="0.15"/>
    <row r="154" spans="2:38" hidden="1" x14ac:dyDescent="0.15">
      <c r="B154" s="31" t="s">
        <v>459</v>
      </c>
    </row>
    <row r="155" spans="2:38" hidden="1" x14ac:dyDescent="0.15"/>
    <row r="156" spans="2:38" ht="15" customHeight="1" x14ac:dyDescent="0.15">
      <c r="B156" s="31" t="s">
        <v>531</v>
      </c>
    </row>
    <row r="157" spans="2:38" ht="15" customHeight="1" x14ac:dyDescent="0.15"/>
    <row r="158" spans="2:38" hidden="1" x14ac:dyDescent="0.15">
      <c r="B158" s="31" t="s">
        <v>458</v>
      </c>
    </row>
    <row r="164" spans="3:20" x14ac:dyDescent="0.15">
      <c r="C164" s="31" t="s">
        <v>205</v>
      </c>
    </row>
    <row r="165" spans="3:20" x14ac:dyDescent="0.15">
      <c r="D165" s="31" t="s">
        <v>163</v>
      </c>
    </row>
    <row r="167" spans="3:20" s="33" customFormat="1" ht="24" customHeight="1" x14ac:dyDescent="0.15">
      <c r="D167" s="35" t="s">
        <v>164</v>
      </c>
    </row>
    <row r="168" spans="3:20" x14ac:dyDescent="0.15">
      <c r="F168" s="31" t="s">
        <v>165</v>
      </c>
    </row>
    <row r="170" spans="3:20" s="33" customFormat="1" ht="24" customHeight="1" x14ac:dyDescent="0.15">
      <c r="D170" s="35" t="s">
        <v>166</v>
      </c>
    </row>
    <row r="171" spans="3:20" x14ac:dyDescent="0.15">
      <c r="F171" s="31" t="s">
        <v>167</v>
      </c>
    </row>
    <row r="172" spans="3:20" x14ac:dyDescent="0.15">
      <c r="F172" s="31" t="s">
        <v>199</v>
      </c>
    </row>
    <row r="173" spans="3:20" x14ac:dyDescent="0.15">
      <c r="F173" s="31" t="s">
        <v>168</v>
      </c>
    </row>
    <row r="175" spans="3:20" x14ac:dyDescent="0.15">
      <c r="F175" s="31" t="s">
        <v>169</v>
      </c>
    </row>
    <row r="176" spans="3:20" x14ac:dyDescent="0.15">
      <c r="T176" s="31" t="s">
        <v>170</v>
      </c>
    </row>
    <row r="177" spans="21:24" x14ac:dyDescent="0.15">
      <c r="U177" s="31" t="s">
        <v>173</v>
      </c>
    </row>
    <row r="182" spans="21:24" x14ac:dyDescent="0.15">
      <c r="W182" s="31" t="s">
        <v>176</v>
      </c>
    </row>
    <row r="183" spans="21:24" x14ac:dyDescent="0.15">
      <c r="X183" s="31" t="s">
        <v>174</v>
      </c>
    </row>
    <row r="184" spans="21:24" x14ac:dyDescent="0.15">
      <c r="X184" s="31" t="s">
        <v>175</v>
      </c>
    </row>
    <row r="190" spans="21:24" x14ac:dyDescent="0.15">
      <c r="W190" s="31" t="s">
        <v>177</v>
      </c>
    </row>
    <row r="191" spans="21:24" x14ac:dyDescent="0.15">
      <c r="X191" s="31" t="s">
        <v>178</v>
      </c>
    </row>
    <row r="195" spans="4:23" x14ac:dyDescent="0.15">
      <c r="W195" s="31" t="s">
        <v>200</v>
      </c>
    </row>
    <row r="199" spans="4:23" ht="24" customHeight="1" x14ac:dyDescent="0.15">
      <c r="D199" s="35" t="s">
        <v>171</v>
      </c>
    </row>
    <row r="200" spans="4:23" x14ac:dyDescent="0.15">
      <c r="F200" s="31" t="s">
        <v>179</v>
      </c>
    </row>
    <row r="202" spans="4:23" x14ac:dyDescent="0.15">
      <c r="F202" s="31" t="s">
        <v>169</v>
      </c>
      <c r="T202" s="31" t="s">
        <v>180</v>
      </c>
    </row>
    <row r="203" spans="4:23" x14ac:dyDescent="0.15">
      <c r="U203" s="31" t="s">
        <v>319</v>
      </c>
    </row>
    <row r="213" spans="2:38" x14ac:dyDescent="0.15">
      <c r="X213" s="31" t="s">
        <v>181</v>
      </c>
    </row>
    <row r="214" spans="2:38" x14ac:dyDescent="0.15">
      <c r="Y214" s="31" t="s">
        <v>559</v>
      </c>
    </row>
    <row r="215" spans="2:38" x14ac:dyDescent="0.15">
      <c r="Y215" s="31" t="s">
        <v>172</v>
      </c>
    </row>
    <row r="218" spans="2:38" x14ac:dyDescent="0.15">
      <c r="T218" s="31" t="s">
        <v>182</v>
      </c>
    </row>
    <row r="219" spans="2:38" x14ac:dyDescent="0.15">
      <c r="U219" s="31" t="s">
        <v>183</v>
      </c>
    </row>
    <row r="222" spans="2:38" ht="15" thickBot="1" x14ac:dyDescent="0.2"/>
    <row r="223" spans="2:38" ht="24" customHeight="1" thickTop="1" thickBot="1" x14ac:dyDescent="0.2">
      <c r="B223" s="500" t="s">
        <v>206</v>
      </c>
      <c r="C223" s="501"/>
      <c r="D223" s="501"/>
      <c r="E223" s="501"/>
      <c r="F223" s="501"/>
      <c r="G223" s="501"/>
      <c r="H223" s="501"/>
      <c r="I223" s="501"/>
      <c r="J223" s="501"/>
      <c r="K223" s="501"/>
      <c r="L223" s="501"/>
      <c r="M223" s="501"/>
      <c r="N223" s="501"/>
      <c r="O223" s="501"/>
      <c r="P223" s="501"/>
      <c r="Q223" s="501"/>
      <c r="R223" s="501"/>
      <c r="S223" s="501"/>
      <c r="T223" s="501"/>
      <c r="U223" s="501"/>
      <c r="V223" s="501"/>
      <c r="W223" s="501"/>
      <c r="X223" s="501"/>
      <c r="Y223" s="501"/>
      <c r="Z223" s="501"/>
      <c r="AA223" s="501"/>
      <c r="AB223" s="501"/>
      <c r="AC223" s="501"/>
      <c r="AD223" s="501"/>
      <c r="AE223" s="501"/>
      <c r="AF223" s="501"/>
      <c r="AG223" s="501"/>
      <c r="AH223" s="501"/>
      <c r="AI223" s="501"/>
      <c r="AJ223" s="501"/>
      <c r="AK223" s="501"/>
      <c r="AL223" s="502"/>
    </row>
    <row r="224" spans="2:38" ht="15" thickTop="1" x14ac:dyDescent="0.15">
      <c r="B224" s="32"/>
    </row>
    <row r="225" spans="3:3" x14ac:dyDescent="0.15">
      <c r="C225" s="31" t="s">
        <v>194</v>
      </c>
    </row>
    <row r="226" spans="3:3" x14ac:dyDescent="0.15">
      <c r="C226" s="31" t="s">
        <v>207</v>
      </c>
    </row>
    <row r="227" spans="3:3" x14ac:dyDescent="0.15">
      <c r="C227" s="31" t="s">
        <v>570</v>
      </c>
    </row>
    <row r="229" spans="3:3" x14ac:dyDescent="0.15">
      <c r="C229" s="31" t="s">
        <v>196</v>
      </c>
    </row>
    <row r="231" spans="3:3" x14ac:dyDescent="0.15">
      <c r="C231" s="31" t="s">
        <v>320</v>
      </c>
    </row>
    <row r="248" spans="3:24" x14ac:dyDescent="0.15">
      <c r="H248" s="314" t="s">
        <v>572</v>
      </c>
      <c r="I248" s="314"/>
      <c r="J248" s="314"/>
      <c r="K248" s="314"/>
      <c r="L248" s="314"/>
      <c r="M248" s="314"/>
      <c r="N248" s="314"/>
      <c r="O248" s="314"/>
      <c r="X248" s="311" t="s">
        <v>571</v>
      </c>
    </row>
    <row r="250" spans="3:24" x14ac:dyDescent="0.15">
      <c r="C250" s="31" t="s">
        <v>195</v>
      </c>
    </row>
    <row r="267" spans="5:27" x14ac:dyDescent="0.15">
      <c r="E267" s="31" t="s">
        <v>576</v>
      </c>
      <c r="AA267" s="31" t="s">
        <v>574</v>
      </c>
    </row>
    <row r="269" spans="5:27" x14ac:dyDescent="0.15">
      <c r="V269" s="31" t="s">
        <v>575</v>
      </c>
    </row>
    <row r="281" spans="35:35" ht="24" x14ac:dyDescent="0.25">
      <c r="AI281" s="312" t="s">
        <v>122</v>
      </c>
    </row>
  </sheetData>
  <sheetProtection password="FFBB" sheet="1" objects="1" scenarios="1"/>
  <mergeCells count="148">
    <mergeCell ref="B223:AL223"/>
    <mergeCell ref="C95:J96"/>
    <mergeCell ref="K86:AL86"/>
    <mergeCell ref="B105:H105"/>
    <mergeCell ref="I105:P105"/>
    <mergeCell ref="AD105:AF105"/>
    <mergeCell ref="Q105:AC105"/>
    <mergeCell ref="Q142:AC142"/>
    <mergeCell ref="Q143:AC143"/>
    <mergeCell ref="Q124:AC124"/>
    <mergeCell ref="K90:AL90"/>
    <mergeCell ref="K92:AL92"/>
    <mergeCell ref="C93:J94"/>
    <mergeCell ref="AG105:AL105"/>
    <mergeCell ref="I146:P146"/>
    <mergeCell ref="I145:P145"/>
    <mergeCell ref="C92:J92"/>
    <mergeCell ref="K93:AL93"/>
    <mergeCell ref="K94:AL94"/>
    <mergeCell ref="K95:AL95"/>
    <mergeCell ref="C91:J91"/>
    <mergeCell ref="K91:AL91"/>
    <mergeCell ref="I144:P144"/>
    <mergeCell ref="I130:P131"/>
    <mergeCell ref="D9:K11"/>
    <mergeCell ref="D15:K17"/>
    <mergeCell ref="M15:AJ17"/>
    <mergeCell ref="K81:AL81"/>
    <mergeCell ref="K82:AL82"/>
    <mergeCell ref="K83:AL83"/>
    <mergeCell ref="C82:J83"/>
    <mergeCell ref="C85:J85"/>
    <mergeCell ref="C90:J90"/>
    <mergeCell ref="C81:J81"/>
    <mergeCell ref="K84:AL84"/>
    <mergeCell ref="C84:J84"/>
    <mergeCell ref="M9:AJ11"/>
    <mergeCell ref="B73:AL73"/>
    <mergeCell ref="B77:AL77"/>
    <mergeCell ref="C87:J89"/>
    <mergeCell ref="K87:AL87"/>
    <mergeCell ref="B20:AL20"/>
    <mergeCell ref="K85:AL85"/>
    <mergeCell ref="B48:AL48"/>
    <mergeCell ref="I132:P132"/>
    <mergeCell ref="Q132:AC132"/>
    <mergeCell ref="I133:P133"/>
    <mergeCell ref="K96:AL96"/>
    <mergeCell ref="Q135:AC135"/>
    <mergeCell ref="I112:P112"/>
    <mergeCell ref="J108:P108"/>
    <mergeCell ref="J109:P109"/>
    <mergeCell ref="I110:P110"/>
    <mergeCell ref="I117:P117"/>
    <mergeCell ref="I118:P118"/>
    <mergeCell ref="AD117:AF118"/>
    <mergeCell ref="I111:P111"/>
    <mergeCell ref="B100:AL100"/>
    <mergeCell ref="Q108:AC108"/>
    <mergeCell ref="AD108:AF108"/>
    <mergeCell ref="Q109:AC109"/>
    <mergeCell ref="AD109:AF109"/>
    <mergeCell ref="AD110:AF110"/>
    <mergeCell ref="I129:P129"/>
    <mergeCell ref="Q120:AC120"/>
    <mergeCell ref="Q121:AC121"/>
    <mergeCell ref="Q122:AC122"/>
    <mergeCell ref="Q123:AC123"/>
    <mergeCell ref="AG136:AL137"/>
    <mergeCell ref="J115:P115"/>
    <mergeCell ref="J116:P116"/>
    <mergeCell ref="Q136:AC136"/>
    <mergeCell ref="Q130:AC131"/>
    <mergeCell ref="AD112:AF112"/>
    <mergeCell ref="Q110:AC110"/>
    <mergeCell ref="I107:P107"/>
    <mergeCell ref="AD146:AF146"/>
    <mergeCell ref="Q144:AC144"/>
    <mergeCell ref="Q146:AC146"/>
    <mergeCell ref="AD133:AF133"/>
    <mergeCell ref="AD138:AF138"/>
    <mergeCell ref="AD140:AF140"/>
    <mergeCell ref="Q145:AC145"/>
    <mergeCell ref="AD145:AF145"/>
    <mergeCell ref="AD144:AF144"/>
    <mergeCell ref="AD142:AF142"/>
    <mergeCell ref="AD134:AF134"/>
    <mergeCell ref="AD135:AF135"/>
    <mergeCell ref="AD136:AF137"/>
    <mergeCell ref="AD143:AF143"/>
    <mergeCell ref="Q141:AC141"/>
    <mergeCell ref="AD141:AF141"/>
    <mergeCell ref="AG142:AL143"/>
    <mergeCell ref="I139:P139"/>
    <mergeCell ref="Q139:AC139"/>
    <mergeCell ref="AD139:AF139"/>
    <mergeCell ref="AG139:AL139"/>
    <mergeCell ref="C97:J98"/>
    <mergeCell ref="K97:AL97"/>
    <mergeCell ref="K98:AL98"/>
    <mergeCell ref="Q133:AC133"/>
    <mergeCell ref="Q138:AC138"/>
    <mergeCell ref="I142:P143"/>
    <mergeCell ref="AD130:AF131"/>
    <mergeCell ref="AD132:AF132"/>
    <mergeCell ref="I141:P141"/>
    <mergeCell ref="I138:P138"/>
    <mergeCell ref="I140:P140"/>
    <mergeCell ref="I134:P134"/>
    <mergeCell ref="I135:P135"/>
    <mergeCell ref="I136:P137"/>
    <mergeCell ref="Q140:AC140"/>
    <mergeCell ref="Q137:AC137"/>
    <mergeCell ref="Q134:AC134"/>
    <mergeCell ref="Q107:AC107"/>
    <mergeCell ref="AD107:AF107"/>
    <mergeCell ref="Q111:AC111"/>
    <mergeCell ref="AD111:AF111"/>
    <mergeCell ref="I120:P120"/>
    <mergeCell ref="I121:P121"/>
    <mergeCell ref="AD113:AF113"/>
    <mergeCell ref="AD114:AF116"/>
    <mergeCell ref="I113:P113"/>
    <mergeCell ref="I114:P114"/>
    <mergeCell ref="K88:AL88"/>
    <mergeCell ref="K89:AL89"/>
    <mergeCell ref="I122:P125"/>
    <mergeCell ref="Q117:AC118"/>
    <mergeCell ref="I126:P126"/>
    <mergeCell ref="I127:P127"/>
    <mergeCell ref="I128:P128"/>
    <mergeCell ref="AD129:AF129"/>
    <mergeCell ref="AG120:AL120"/>
    <mergeCell ref="AG121:AL121"/>
    <mergeCell ref="AG126:AL126"/>
    <mergeCell ref="AG127:AL127"/>
    <mergeCell ref="AG128:AL128"/>
    <mergeCell ref="AG129:AL129"/>
    <mergeCell ref="Q125:AC125"/>
    <mergeCell ref="Q126:AC126"/>
    <mergeCell ref="Q127:AC127"/>
    <mergeCell ref="Q128:AC128"/>
    <mergeCell ref="Q129:AC129"/>
    <mergeCell ref="AD120:AF120"/>
    <mergeCell ref="AD121:AF121"/>
    <mergeCell ref="AD126:AF126"/>
    <mergeCell ref="AD127:AF127"/>
    <mergeCell ref="AD128:AF128"/>
  </mergeCells>
  <phoneticPr fontId="2"/>
  <hyperlinks>
    <hyperlink ref="M9:AJ11" r:id="rId1" display="jdva-entry@fsk-inc.co.jp" xr:uid="{00000000-0004-0000-0200-000000000000}"/>
  </hyperlinks>
  <printOptions horizontalCentered="1"/>
  <pageMargins left="0.31496062992125984" right="0.31496062992125984" top="0.35433070866141736" bottom="0.35433070866141736" header="0.31496062992125984" footer="0.31496062992125984"/>
  <pageSetup paperSize="9" scale="88" orientation="portrait" r:id="rId2"/>
  <rowBreaks count="3" manualBreakCount="3">
    <brk id="99" min="1" max="37" man="1"/>
    <brk id="163" max="16383" man="1"/>
    <brk id="222" max="16383" man="1"/>
  </rowBreak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CS65"/>
  <sheetViews>
    <sheetView showGridLines="0" showRowColHeaders="0" zoomScaleNormal="100" zoomScaleSheetLayoutView="100" workbookViewId="0">
      <selection activeCell="G6" sqref="G6:AD6"/>
    </sheetView>
  </sheetViews>
  <sheetFormatPr defaultColWidth="2.625" defaultRowHeight="14.25" x14ac:dyDescent="0.15"/>
  <cols>
    <col min="1" max="1" width="9" style="87" customWidth="1"/>
    <col min="2" max="17" width="2.625" style="87"/>
    <col min="18" max="19" width="6.625" style="87" customWidth="1"/>
    <col min="20" max="56" width="2.625" style="87"/>
    <col min="57" max="57" width="3.25" style="87" hidden="1" customWidth="1"/>
    <col min="58" max="58" width="3.5" style="87" hidden="1" customWidth="1"/>
    <col min="59" max="78" width="2.625" style="87" hidden="1" customWidth="1"/>
    <col min="79" max="79" width="7.5" style="87" hidden="1" customWidth="1"/>
    <col min="80" max="85" width="10.625" style="87" hidden="1" customWidth="1"/>
    <col min="86" max="86" width="12.875" style="87" hidden="1" customWidth="1"/>
    <col min="87" max="93" width="10.625" style="87" hidden="1" customWidth="1"/>
    <col min="94" max="94" width="18.375" style="87" hidden="1" customWidth="1"/>
    <col min="95" max="97" width="10.625" style="87" hidden="1" customWidth="1"/>
    <col min="98" max="255" width="2.625" style="87" customWidth="1"/>
    <col min="256" max="16384" width="2.625" style="87"/>
  </cols>
  <sheetData>
    <row r="1" spans="1:56" ht="33" x14ac:dyDescent="0.15">
      <c r="B1" s="830" t="s">
        <v>634</v>
      </c>
      <c r="C1" s="830"/>
      <c r="D1" s="830"/>
      <c r="E1" s="830"/>
      <c r="F1" s="830"/>
      <c r="G1" s="830"/>
      <c r="H1" s="830"/>
      <c r="I1" s="830"/>
      <c r="J1" s="830"/>
      <c r="K1" s="830"/>
      <c r="L1" s="830"/>
      <c r="M1" s="830"/>
      <c r="N1" s="830"/>
      <c r="O1" s="830"/>
      <c r="P1" s="830"/>
      <c r="Q1" s="830"/>
      <c r="R1" s="830"/>
      <c r="S1" s="830"/>
      <c r="T1" s="830"/>
      <c r="U1" s="830"/>
      <c r="V1" s="830"/>
      <c r="W1" s="830"/>
      <c r="X1" s="830"/>
      <c r="Y1" s="830"/>
      <c r="Z1" s="830"/>
      <c r="AA1" s="830"/>
      <c r="AB1" s="830"/>
      <c r="AC1" s="830"/>
      <c r="AD1" s="830"/>
      <c r="AE1" s="830"/>
      <c r="AF1" s="830"/>
      <c r="AG1" s="830"/>
      <c r="AH1" s="830"/>
      <c r="AI1" s="830"/>
      <c r="AJ1" s="830"/>
      <c r="AK1" s="830"/>
      <c r="AL1" s="830"/>
      <c r="AM1" s="830"/>
      <c r="AN1" s="830"/>
      <c r="AO1" s="830"/>
      <c r="AP1" s="830"/>
      <c r="AQ1" s="830"/>
      <c r="AR1" s="830"/>
      <c r="AS1" s="830"/>
      <c r="AT1" s="830"/>
      <c r="AU1" s="830"/>
      <c r="AV1" s="830"/>
      <c r="AW1" s="830"/>
      <c r="AX1" s="830"/>
      <c r="AY1" s="830"/>
      <c r="AZ1" s="830"/>
      <c r="BA1" s="830"/>
      <c r="BB1" s="830"/>
      <c r="BC1" s="830"/>
      <c r="BD1" s="830"/>
    </row>
    <row r="2" spans="1:56" ht="22.5" customHeight="1" x14ac:dyDescent="0.15">
      <c r="B2" s="831" t="s">
        <v>536</v>
      </c>
      <c r="C2" s="831"/>
      <c r="D2" s="831"/>
      <c r="E2" s="831"/>
      <c r="F2" s="831"/>
      <c r="G2" s="831"/>
      <c r="H2" s="831"/>
      <c r="I2" s="831"/>
      <c r="J2" s="831"/>
      <c r="K2" s="831"/>
      <c r="L2" s="831"/>
      <c r="M2" s="831"/>
      <c r="N2" s="831"/>
      <c r="O2" s="831"/>
      <c r="P2" s="831"/>
      <c r="Q2" s="831"/>
      <c r="R2" s="831"/>
      <c r="S2" s="831"/>
      <c r="T2" s="831"/>
      <c r="U2" s="831"/>
      <c r="V2" s="831"/>
      <c r="W2" s="831"/>
      <c r="X2" s="831"/>
      <c r="Y2" s="831"/>
      <c r="Z2" s="831"/>
      <c r="AA2" s="831"/>
      <c r="AB2" s="831"/>
      <c r="AC2" s="831"/>
      <c r="AD2" s="831"/>
      <c r="AE2" s="831"/>
      <c r="AF2" s="831"/>
      <c r="AG2" s="831"/>
      <c r="AH2" s="831"/>
      <c r="AI2" s="831"/>
      <c r="AJ2" s="831"/>
      <c r="AK2" s="831"/>
      <c r="AL2" s="831"/>
      <c r="AM2" s="831"/>
      <c r="AN2" s="831"/>
      <c r="AO2" s="831"/>
      <c r="AP2" s="831"/>
      <c r="AQ2" s="831"/>
      <c r="AR2" s="831"/>
      <c r="AS2" s="831"/>
      <c r="AT2" s="831"/>
      <c r="AU2" s="831"/>
      <c r="AV2" s="831"/>
      <c r="AW2" s="831"/>
      <c r="AX2" s="831"/>
      <c r="AY2" s="831"/>
      <c r="AZ2" s="831"/>
      <c r="BA2" s="831"/>
      <c r="BB2" s="831"/>
      <c r="BC2" s="831"/>
      <c r="BD2" s="831"/>
    </row>
    <row r="3" spans="1:56" ht="4.5" customHeight="1" x14ac:dyDescent="0.15"/>
    <row r="4" spans="1:56" ht="17.25" x14ac:dyDescent="0.15">
      <c r="B4" s="300" t="s">
        <v>523</v>
      </c>
    </row>
    <row r="5" spans="1:56" ht="6.95" customHeight="1" thickBot="1" x14ac:dyDescent="0.2"/>
    <row r="6" spans="1:56" ht="20.100000000000001" customHeight="1" x14ac:dyDescent="0.15">
      <c r="B6" s="656" t="s">
        <v>70</v>
      </c>
      <c r="C6" s="657"/>
      <c r="D6" s="657"/>
      <c r="E6" s="657"/>
      <c r="F6" s="658"/>
      <c r="G6" s="662"/>
      <c r="H6" s="662"/>
      <c r="I6" s="662"/>
      <c r="J6" s="662"/>
      <c r="K6" s="662"/>
      <c r="L6" s="662"/>
      <c r="M6" s="662"/>
      <c r="N6" s="662"/>
      <c r="O6" s="662"/>
      <c r="P6" s="662"/>
      <c r="Q6" s="662"/>
      <c r="R6" s="662"/>
      <c r="S6" s="662"/>
      <c r="T6" s="662"/>
      <c r="U6" s="662"/>
      <c r="V6" s="662"/>
      <c r="W6" s="662"/>
      <c r="X6" s="662"/>
      <c r="Y6" s="662"/>
      <c r="Z6" s="662"/>
      <c r="AA6" s="662"/>
      <c r="AB6" s="662"/>
      <c r="AC6" s="662"/>
      <c r="AD6" s="662"/>
      <c r="AE6" s="663" t="s">
        <v>333</v>
      </c>
      <c r="AF6" s="663"/>
      <c r="AG6" s="663"/>
      <c r="AH6" s="663"/>
      <c r="AI6" s="665"/>
      <c r="AJ6" s="665"/>
      <c r="AK6" s="665"/>
      <c r="AL6" s="665"/>
      <c r="AM6" s="665"/>
      <c r="AN6" s="665"/>
      <c r="AO6" s="665"/>
      <c r="AP6" s="665"/>
      <c r="AQ6" s="665"/>
      <c r="AR6" s="665"/>
      <c r="AS6" s="665"/>
      <c r="AT6" s="665"/>
      <c r="AU6" s="665"/>
      <c r="AV6" s="665"/>
      <c r="AW6" s="665"/>
      <c r="AX6" s="665"/>
      <c r="AY6" s="665"/>
      <c r="AZ6" s="665"/>
      <c r="BA6" s="665"/>
      <c r="BB6" s="665"/>
      <c r="BC6" s="665"/>
      <c r="BD6" s="666"/>
    </row>
    <row r="7" spans="1:56" ht="20.100000000000001" customHeight="1" x14ac:dyDescent="0.15">
      <c r="B7" s="659"/>
      <c r="C7" s="660"/>
      <c r="D7" s="660"/>
      <c r="E7" s="660"/>
      <c r="F7" s="661"/>
      <c r="G7" s="669" t="s">
        <v>334</v>
      </c>
      <c r="H7" s="670"/>
      <c r="I7" s="670"/>
      <c r="J7" s="670"/>
      <c r="K7" s="670"/>
      <c r="L7" s="670"/>
      <c r="M7" s="671"/>
      <c r="N7" s="671"/>
      <c r="O7" s="671"/>
      <c r="P7" s="671"/>
      <c r="Q7" s="671"/>
      <c r="R7" s="671"/>
      <c r="S7" s="671"/>
      <c r="T7" s="671"/>
      <c r="U7" s="671"/>
      <c r="V7" s="671"/>
      <c r="W7" s="671"/>
      <c r="X7" s="671"/>
      <c r="Y7" s="671"/>
      <c r="Z7" s="671"/>
      <c r="AA7" s="671"/>
      <c r="AB7" s="671"/>
      <c r="AC7" s="671"/>
      <c r="AD7" s="672"/>
      <c r="AE7" s="664"/>
      <c r="AF7" s="664"/>
      <c r="AG7" s="664"/>
      <c r="AH7" s="664"/>
      <c r="AI7" s="667"/>
      <c r="AJ7" s="667"/>
      <c r="AK7" s="667"/>
      <c r="AL7" s="667"/>
      <c r="AM7" s="667"/>
      <c r="AN7" s="667"/>
      <c r="AO7" s="667"/>
      <c r="AP7" s="667"/>
      <c r="AQ7" s="667"/>
      <c r="AR7" s="667"/>
      <c r="AS7" s="667"/>
      <c r="AT7" s="667"/>
      <c r="AU7" s="667"/>
      <c r="AV7" s="667"/>
      <c r="AW7" s="667"/>
      <c r="AX7" s="667"/>
      <c r="AY7" s="667"/>
      <c r="AZ7" s="667"/>
      <c r="BA7" s="667"/>
      <c r="BB7" s="667"/>
      <c r="BC7" s="667"/>
      <c r="BD7" s="668"/>
    </row>
    <row r="8" spans="1:56" ht="20.100000000000001" customHeight="1" x14ac:dyDescent="0.15">
      <c r="B8" s="675" t="s">
        <v>335</v>
      </c>
      <c r="C8" s="676"/>
      <c r="D8" s="676"/>
      <c r="E8" s="676"/>
      <c r="F8" s="677"/>
      <c r="G8" s="601"/>
      <c r="H8" s="601"/>
      <c r="I8" s="601"/>
      <c r="J8" s="601"/>
      <c r="K8" s="601"/>
      <c r="L8" s="601"/>
      <c r="M8" s="694" t="s">
        <v>491</v>
      </c>
      <c r="N8" s="695"/>
      <c r="O8" s="695"/>
      <c r="P8" s="695"/>
      <c r="Q8" s="695"/>
      <c r="R8" s="695"/>
      <c r="S8" s="695"/>
      <c r="T8" s="695"/>
      <c r="U8" s="845"/>
      <c r="V8" s="846"/>
      <c r="W8" s="846"/>
      <c r="X8" s="846"/>
      <c r="Y8" s="846"/>
      <c r="Z8" s="847"/>
      <c r="AA8" s="293" t="s">
        <v>492</v>
      </c>
      <c r="AB8" s="848" t="str">
        <f>IF(U8="","",VLOOKUP(U8,MY_MATRIX!H4:I50,2,0))</f>
        <v/>
      </c>
      <c r="AC8" s="848"/>
      <c r="AD8" s="848"/>
      <c r="AE8" s="848"/>
      <c r="AF8" s="293" t="s">
        <v>493</v>
      </c>
      <c r="AG8" s="293"/>
      <c r="AH8" s="293"/>
      <c r="AI8" s="293"/>
      <c r="AJ8" s="293"/>
      <c r="AK8" s="293"/>
      <c r="AL8" s="293"/>
      <c r="AM8" s="293"/>
      <c r="AN8" s="293"/>
      <c r="AO8" s="293"/>
      <c r="AP8" s="293"/>
      <c r="AQ8" s="293"/>
      <c r="AR8" s="293"/>
      <c r="AS8" s="293"/>
      <c r="AT8" s="293"/>
      <c r="AU8" s="293"/>
      <c r="AV8" s="293"/>
      <c r="AW8" s="293"/>
      <c r="AX8" s="293"/>
      <c r="AY8" s="293"/>
      <c r="AZ8" s="293"/>
      <c r="BA8" s="293"/>
      <c r="BB8" s="293"/>
      <c r="BC8" s="293"/>
      <c r="BD8" s="294"/>
    </row>
    <row r="9" spans="1:56" ht="20.100000000000001" customHeight="1" x14ac:dyDescent="0.15">
      <c r="B9" s="646" t="s">
        <v>336</v>
      </c>
      <c r="C9" s="647"/>
      <c r="D9" s="647"/>
      <c r="E9" s="647"/>
      <c r="F9" s="648"/>
      <c r="G9" s="699" t="s">
        <v>337</v>
      </c>
      <c r="H9" s="684"/>
      <c r="I9" s="684"/>
      <c r="J9" s="684"/>
      <c r="K9" s="684"/>
      <c r="L9" s="684"/>
      <c r="M9" s="684" t="s">
        <v>338</v>
      </c>
      <c r="N9" s="684"/>
      <c r="O9" s="684"/>
      <c r="P9" s="684"/>
      <c r="Q9" s="684"/>
      <c r="R9" s="684"/>
      <c r="S9" s="684" t="s">
        <v>339</v>
      </c>
      <c r="T9" s="684"/>
      <c r="U9" s="684"/>
      <c r="V9" s="684"/>
      <c r="W9" s="684"/>
      <c r="X9" s="684"/>
      <c r="Y9" s="684" t="s">
        <v>340</v>
      </c>
      <c r="Z9" s="684"/>
      <c r="AA9" s="684"/>
      <c r="AB9" s="684"/>
      <c r="AC9" s="684"/>
      <c r="AD9" s="685"/>
      <c r="AE9" s="686" t="s">
        <v>398</v>
      </c>
      <c r="AF9" s="647"/>
      <c r="AG9" s="647"/>
      <c r="AH9" s="648"/>
      <c r="AI9" s="295" t="s">
        <v>341</v>
      </c>
      <c r="AJ9" s="688"/>
      <c r="AK9" s="602"/>
      <c r="AL9" s="602"/>
      <c r="AM9" s="298" t="s">
        <v>342</v>
      </c>
      <c r="AN9" s="602"/>
      <c r="AO9" s="602"/>
      <c r="AP9" s="603"/>
      <c r="AQ9" s="689"/>
      <c r="AR9" s="690"/>
      <c r="AS9" s="690"/>
      <c r="AT9" s="690"/>
      <c r="AU9" s="690"/>
      <c r="AV9" s="678"/>
      <c r="AW9" s="679"/>
      <c r="AX9" s="679"/>
      <c r="AY9" s="680"/>
      <c r="AZ9" s="681" t="str">
        <f>IF(AV9="","","("&amp;VLOOKUP(AV9,MY_MATRIX!H4:I50,2,0)&amp;")")</f>
        <v/>
      </c>
      <c r="BA9" s="682"/>
      <c r="BB9" s="682"/>
      <c r="BC9" s="682"/>
      <c r="BD9" s="683"/>
    </row>
    <row r="10" spans="1:56" ht="20.100000000000001" customHeight="1" x14ac:dyDescent="0.15">
      <c r="B10" s="696"/>
      <c r="C10" s="697"/>
      <c r="D10" s="697"/>
      <c r="E10" s="697"/>
      <c r="F10" s="698"/>
      <c r="G10" s="619"/>
      <c r="H10" s="618"/>
      <c r="I10" s="618"/>
      <c r="J10" s="618"/>
      <c r="K10" s="618"/>
      <c r="L10" s="618"/>
      <c r="M10" s="618"/>
      <c r="N10" s="618"/>
      <c r="O10" s="618"/>
      <c r="P10" s="618"/>
      <c r="Q10" s="618"/>
      <c r="R10" s="618"/>
      <c r="S10" s="618"/>
      <c r="T10" s="618"/>
      <c r="U10" s="618"/>
      <c r="V10" s="618"/>
      <c r="W10" s="618"/>
      <c r="X10" s="618"/>
      <c r="Y10" s="618"/>
      <c r="Z10" s="618"/>
      <c r="AA10" s="618"/>
      <c r="AB10" s="618"/>
      <c r="AC10" s="618"/>
      <c r="AD10" s="693"/>
      <c r="AE10" s="687"/>
      <c r="AF10" s="660"/>
      <c r="AG10" s="660"/>
      <c r="AH10" s="660"/>
      <c r="AI10" s="296"/>
      <c r="AJ10" s="691"/>
      <c r="AK10" s="691"/>
      <c r="AL10" s="691"/>
      <c r="AM10" s="691"/>
      <c r="AN10" s="691"/>
      <c r="AO10" s="691"/>
      <c r="AP10" s="691"/>
      <c r="AQ10" s="691"/>
      <c r="AR10" s="691"/>
      <c r="AS10" s="691"/>
      <c r="AT10" s="691"/>
      <c r="AU10" s="691"/>
      <c r="AV10" s="691"/>
      <c r="AW10" s="691"/>
      <c r="AX10" s="691"/>
      <c r="AY10" s="691"/>
      <c r="AZ10" s="691"/>
      <c r="BA10" s="691"/>
      <c r="BB10" s="691"/>
      <c r="BC10" s="691"/>
      <c r="BD10" s="692"/>
    </row>
    <row r="11" spans="1:56" ht="20.100000000000001" customHeight="1" x14ac:dyDescent="0.15">
      <c r="B11" s="646" t="s">
        <v>560</v>
      </c>
      <c r="C11" s="647"/>
      <c r="D11" s="647"/>
      <c r="E11" s="647"/>
      <c r="F11" s="648"/>
      <c r="G11" s="652" t="s">
        <v>380</v>
      </c>
      <c r="H11" s="653"/>
      <c r="I11" s="653"/>
      <c r="J11" s="654"/>
      <c r="K11" s="613"/>
      <c r="L11" s="614"/>
      <c r="M11" s="614"/>
      <c r="N11" s="614"/>
      <c r="O11" s="614"/>
      <c r="P11" s="614"/>
      <c r="Q11" s="614"/>
      <c r="R11" s="614"/>
      <c r="S11" s="614"/>
      <c r="T11" s="614"/>
      <c r="U11" s="614"/>
      <c r="V11" s="614"/>
      <c r="W11" s="615"/>
      <c r="X11" s="108" t="s">
        <v>397</v>
      </c>
      <c r="Y11" s="560"/>
      <c r="Z11" s="560"/>
      <c r="AA11" s="560"/>
      <c r="AB11" s="560"/>
      <c r="AC11" s="560"/>
      <c r="AD11" s="561"/>
      <c r="AE11" s="543" t="s">
        <v>400</v>
      </c>
      <c r="AF11" s="544"/>
      <c r="AG11" s="544"/>
      <c r="AH11" s="544"/>
      <c r="AI11" s="297"/>
      <c r="AJ11" s="792"/>
      <c r="AK11" s="792"/>
      <c r="AL11" s="792"/>
      <c r="AM11" s="792"/>
      <c r="AN11" s="792"/>
      <c r="AO11" s="792"/>
      <c r="AP11" s="792"/>
      <c r="AQ11" s="792"/>
      <c r="AR11" s="792"/>
      <c r="AS11" s="792"/>
      <c r="AT11" s="792"/>
      <c r="AU11" s="792"/>
      <c r="AV11" s="792"/>
      <c r="AW11" s="792"/>
      <c r="AX11" s="792"/>
      <c r="AY11" s="792"/>
      <c r="AZ11" s="792"/>
      <c r="BA11" s="792"/>
      <c r="BB11" s="792"/>
      <c r="BC11" s="792"/>
      <c r="BD11" s="793"/>
    </row>
    <row r="12" spans="1:56" ht="20.100000000000001" customHeight="1" thickBot="1" x14ac:dyDescent="0.2">
      <c r="B12" s="649"/>
      <c r="C12" s="650"/>
      <c r="D12" s="650"/>
      <c r="E12" s="650"/>
      <c r="F12" s="651"/>
      <c r="G12" s="610" t="s">
        <v>384</v>
      </c>
      <c r="H12" s="611"/>
      <c r="I12" s="611"/>
      <c r="J12" s="612"/>
      <c r="K12" s="700"/>
      <c r="L12" s="701"/>
      <c r="M12" s="701"/>
      <c r="N12" s="701"/>
      <c r="O12" s="701"/>
      <c r="P12" s="701"/>
      <c r="Q12" s="701"/>
      <c r="R12" s="701"/>
      <c r="S12" s="701"/>
      <c r="T12" s="701"/>
      <c r="U12" s="701"/>
      <c r="V12" s="701"/>
      <c r="W12" s="702"/>
      <c r="X12" s="109" t="s">
        <v>397</v>
      </c>
      <c r="Y12" s="562"/>
      <c r="Z12" s="563"/>
      <c r="AA12" s="563"/>
      <c r="AB12" s="563"/>
      <c r="AC12" s="563"/>
      <c r="AD12" s="564"/>
      <c r="AE12" s="545" t="s">
        <v>343</v>
      </c>
      <c r="AF12" s="546"/>
      <c r="AG12" s="546"/>
      <c r="AH12" s="547"/>
      <c r="AI12" s="550"/>
      <c r="AJ12" s="551"/>
      <c r="AK12" s="552"/>
      <c r="AL12" s="299" t="s">
        <v>342</v>
      </c>
      <c r="AM12" s="548"/>
      <c r="AN12" s="553"/>
      <c r="AO12" s="299" t="s">
        <v>342</v>
      </c>
      <c r="AP12" s="548"/>
      <c r="AQ12" s="549"/>
      <c r="AR12" s="545" t="s">
        <v>344</v>
      </c>
      <c r="AS12" s="546"/>
      <c r="AT12" s="546"/>
      <c r="AU12" s="547"/>
      <c r="AV12" s="550"/>
      <c r="AW12" s="551"/>
      <c r="AX12" s="552"/>
      <c r="AY12" s="299" t="s">
        <v>342</v>
      </c>
      <c r="AZ12" s="548"/>
      <c r="BA12" s="553"/>
      <c r="BB12" s="299" t="s">
        <v>342</v>
      </c>
      <c r="BC12" s="548"/>
      <c r="BD12" s="574"/>
    </row>
    <row r="13" spans="1:56" ht="84" hidden="1" customHeight="1" thickBot="1" x14ac:dyDescent="0.2">
      <c r="A13" s="303" t="s">
        <v>527</v>
      </c>
      <c r="B13" s="832" t="s">
        <v>528</v>
      </c>
      <c r="C13" s="833"/>
      <c r="D13" s="833"/>
      <c r="E13" s="833"/>
      <c r="F13" s="833"/>
      <c r="G13" s="833"/>
      <c r="H13" s="833"/>
      <c r="I13" s="833"/>
      <c r="J13" s="833"/>
      <c r="K13" s="834"/>
      <c r="L13" s="834"/>
      <c r="M13" s="835"/>
      <c r="N13" s="849" t="s">
        <v>529</v>
      </c>
      <c r="O13" s="849"/>
      <c r="P13" s="849"/>
      <c r="Q13" s="849"/>
      <c r="R13" s="849"/>
      <c r="S13" s="849"/>
      <c r="T13" s="849"/>
      <c r="U13" s="849"/>
      <c r="V13" s="849"/>
      <c r="W13" s="849"/>
      <c r="X13" s="850"/>
      <c r="Y13" s="850"/>
      <c r="Z13" s="850"/>
      <c r="AA13" s="850"/>
      <c r="AB13" s="850"/>
      <c r="AC13" s="850"/>
      <c r="AD13" s="850"/>
      <c r="AE13" s="850"/>
      <c r="AF13" s="850"/>
      <c r="AG13" s="850"/>
      <c r="AH13" s="850"/>
      <c r="AI13" s="850"/>
      <c r="AJ13" s="850"/>
      <c r="AK13" s="850"/>
      <c r="AL13" s="850"/>
      <c r="AM13" s="850"/>
      <c r="AN13" s="850"/>
      <c r="AO13" s="850"/>
      <c r="AP13" s="850"/>
      <c r="AQ13" s="850"/>
      <c r="AR13" s="850"/>
      <c r="AS13" s="850"/>
      <c r="AT13" s="850"/>
      <c r="AU13" s="850"/>
      <c r="AV13" s="850"/>
      <c r="AW13" s="850"/>
      <c r="AX13" s="850"/>
      <c r="AY13" s="850"/>
      <c r="AZ13" s="850"/>
      <c r="BA13" s="850"/>
      <c r="BB13" s="850"/>
      <c r="BC13" s="850"/>
      <c r="BD13" s="850"/>
    </row>
    <row r="14" spans="1:56" ht="52.15" customHeight="1" thickBot="1" x14ac:dyDescent="0.25">
      <c r="B14" s="221" t="s">
        <v>486</v>
      </c>
      <c r="Q14" s="95"/>
      <c r="T14" s="673" t="s">
        <v>580</v>
      </c>
      <c r="U14" s="674"/>
      <c r="V14" s="674"/>
      <c r="W14" s="674"/>
      <c r="X14" s="674"/>
      <c r="Y14" s="674"/>
      <c r="Z14" s="674"/>
      <c r="AA14" s="674"/>
      <c r="AB14" s="674"/>
      <c r="AC14" s="674"/>
      <c r="AD14" s="674"/>
      <c r="AE14" s="674"/>
      <c r="AF14" s="674"/>
      <c r="AG14" s="674"/>
      <c r="AH14" s="674"/>
      <c r="AI14" s="674"/>
      <c r="AJ14" s="674"/>
      <c r="AK14" s="674"/>
      <c r="AL14" s="674"/>
      <c r="AM14" s="674"/>
      <c r="AN14" s="674"/>
      <c r="AO14" s="674"/>
      <c r="AP14" s="674"/>
      <c r="AQ14" s="674"/>
      <c r="AR14" s="674"/>
      <c r="AS14" s="674"/>
      <c r="AT14" s="674"/>
      <c r="AU14" s="674"/>
      <c r="AV14" s="674"/>
      <c r="AW14" s="674"/>
      <c r="AX14" s="674"/>
      <c r="AY14" s="674"/>
      <c r="AZ14" s="674"/>
      <c r="BA14" s="674"/>
      <c r="BB14" s="674"/>
      <c r="BC14" s="674"/>
      <c r="BD14" s="674"/>
    </row>
    <row r="15" spans="1:56" ht="8.4499999999999993" hidden="1" customHeight="1" thickBot="1" x14ac:dyDescent="0.2">
      <c r="N15" s="356" t="s">
        <v>603</v>
      </c>
    </row>
    <row r="16" spans="1:56" ht="18" customHeight="1" x14ac:dyDescent="0.15">
      <c r="B16" s="704" t="s">
        <v>353</v>
      </c>
      <c r="C16" s="634"/>
      <c r="D16" s="634"/>
      <c r="E16" s="705"/>
      <c r="F16" s="632" t="s">
        <v>487</v>
      </c>
      <c r="G16" s="632"/>
      <c r="H16" s="632"/>
      <c r="I16" s="632"/>
      <c r="J16" s="632"/>
      <c r="K16" s="632"/>
      <c r="L16" s="632"/>
      <c r="M16" s="632"/>
      <c r="N16" s="633" t="s">
        <v>604</v>
      </c>
      <c r="O16" s="634"/>
      <c r="P16" s="634"/>
      <c r="Q16" s="635"/>
      <c r="R16" s="625" t="s">
        <v>562</v>
      </c>
      <c r="S16" s="626"/>
      <c r="T16" s="604" t="s">
        <v>346</v>
      </c>
      <c r="U16" s="605"/>
      <c r="V16" s="605"/>
      <c r="W16" s="605"/>
      <c r="X16" s="605"/>
      <c r="Y16" s="540"/>
      <c r="Z16" s="541"/>
      <c r="AA16" s="541"/>
      <c r="AB16" s="541"/>
      <c r="AC16" s="541"/>
      <c r="AD16" s="541"/>
      <c r="AE16" s="541"/>
      <c r="AF16" s="541"/>
      <c r="AG16" s="541"/>
      <c r="AH16" s="541"/>
      <c r="AI16" s="541"/>
      <c r="AJ16" s="541"/>
      <c r="AK16" s="541"/>
      <c r="AL16" s="541"/>
      <c r="AM16" s="541"/>
      <c r="AN16" s="541"/>
      <c r="AO16" s="541"/>
      <c r="AP16" s="541"/>
      <c r="AQ16" s="541"/>
      <c r="AR16" s="541"/>
      <c r="AS16" s="541"/>
      <c r="AT16" s="541"/>
      <c r="AU16" s="541"/>
      <c r="AV16" s="541"/>
      <c r="AW16" s="541"/>
      <c r="AX16" s="541"/>
      <c r="AY16" s="541"/>
      <c r="AZ16" s="542"/>
      <c r="BA16" s="575" t="s">
        <v>376</v>
      </c>
      <c r="BB16" s="576"/>
      <c r="BC16" s="576"/>
      <c r="BD16" s="577"/>
    </row>
    <row r="17" spans="2:94" ht="18" customHeight="1" thickBot="1" x14ac:dyDescent="0.2">
      <c r="B17" s="706"/>
      <c r="C17" s="637"/>
      <c r="D17" s="637"/>
      <c r="E17" s="707"/>
      <c r="F17" s="639" t="s">
        <v>337</v>
      </c>
      <c r="G17" s="640"/>
      <c r="H17" s="640"/>
      <c r="I17" s="640"/>
      <c r="J17" s="640" t="s">
        <v>338</v>
      </c>
      <c r="K17" s="640"/>
      <c r="L17" s="640"/>
      <c r="M17" s="641"/>
      <c r="N17" s="636"/>
      <c r="O17" s="637"/>
      <c r="P17" s="637"/>
      <c r="Q17" s="638"/>
      <c r="R17" s="627"/>
      <c r="S17" s="628"/>
      <c r="T17" s="606"/>
      <c r="U17" s="607"/>
      <c r="V17" s="607"/>
      <c r="W17" s="607"/>
      <c r="X17" s="607"/>
      <c r="Y17" s="557" t="s">
        <v>561</v>
      </c>
      <c r="Z17" s="558"/>
      <c r="AA17" s="558"/>
      <c r="AB17" s="558"/>
      <c r="AC17" s="558"/>
      <c r="AD17" s="558"/>
      <c r="AE17" s="558"/>
      <c r="AF17" s="558"/>
      <c r="AG17" s="558"/>
      <c r="AH17" s="558"/>
      <c r="AI17" s="558"/>
      <c r="AJ17" s="558"/>
      <c r="AK17" s="558"/>
      <c r="AL17" s="558"/>
      <c r="AM17" s="558"/>
      <c r="AN17" s="558"/>
      <c r="AO17" s="558"/>
      <c r="AP17" s="559"/>
      <c r="AQ17" s="537"/>
      <c r="AR17" s="538"/>
      <c r="AS17" s="538"/>
      <c r="AT17" s="538"/>
      <c r="AU17" s="538"/>
      <c r="AV17" s="538"/>
      <c r="AW17" s="538"/>
      <c r="AX17" s="538"/>
      <c r="AY17" s="538"/>
      <c r="AZ17" s="539"/>
      <c r="BA17" s="578"/>
      <c r="BB17" s="579"/>
      <c r="BC17" s="579"/>
      <c r="BD17" s="580"/>
    </row>
    <row r="18" spans="2:94" ht="18" customHeight="1" thickTop="1" x14ac:dyDescent="0.15">
      <c r="B18" s="708" t="s">
        <v>356</v>
      </c>
      <c r="C18" s="709"/>
      <c r="D18" s="709"/>
      <c r="E18" s="709"/>
      <c r="F18" s="616" t="s">
        <v>359</v>
      </c>
      <c r="G18" s="617"/>
      <c r="H18" s="617"/>
      <c r="I18" s="617"/>
      <c r="J18" s="617" t="s">
        <v>360</v>
      </c>
      <c r="K18" s="617"/>
      <c r="L18" s="617"/>
      <c r="M18" s="620"/>
      <c r="N18" s="621" t="s">
        <v>404</v>
      </c>
      <c r="O18" s="622"/>
      <c r="P18" s="622"/>
      <c r="Q18" s="622"/>
      <c r="R18" s="642" t="s">
        <v>483</v>
      </c>
      <c r="S18" s="643"/>
      <c r="T18" s="836">
        <v>33501</v>
      </c>
      <c r="U18" s="837"/>
      <c r="V18" s="837"/>
      <c r="W18" s="837"/>
      <c r="X18" s="837"/>
      <c r="Y18" s="540"/>
      <c r="Z18" s="541"/>
      <c r="AA18" s="541"/>
      <c r="AB18" s="541"/>
      <c r="AC18" s="541"/>
      <c r="AD18" s="541"/>
      <c r="AE18" s="541"/>
      <c r="AF18" s="541"/>
      <c r="AG18" s="541"/>
      <c r="AH18" s="541"/>
      <c r="AI18" s="541"/>
      <c r="AJ18" s="541"/>
      <c r="AK18" s="541"/>
      <c r="AL18" s="541"/>
      <c r="AM18" s="541"/>
      <c r="AN18" s="541"/>
      <c r="AO18" s="541"/>
      <c r="AP18" s="541"/>
      <c r="AQ18" s="541"/>
      <c r="AR18" s="541"/>
      <c r="AS18" s="541"/>
      <c r="AT18" s="541"/>
      <c r="AU18" s="541"/>
      <c r="AV18" s="541"/>
      <c r="AW18" s="541"/>
      <c r="AX18" s="541"/>
      <c r="AY18" s="541"/>
      <c r="AZ18" s="542"/>
      <c r="BA18" s="581">
        <f>IF(CA18,0,4000)</f>
        <v>4000</v>
      </c>
      <c r="BB18" s="581"/>
      <c r="BC18" s="581"/>
      <c r="BD18" s="582"/>
      <c r="CA18" s="101" t="b">
        <f>IF(R18="",FALSE,IF(R18="（今回登録）",FALSE,TRUE))</f>
        <v>0</v>
      </c>
    </row>
    <row r="19" spans="2:94" ht="18" customHeight="1" thickBot="1" x14ac:dyDescent="0.2">
      <c r="B19" s="710"/>
      <c r="C19" s="711"/>
      <c r="D19" s="711"/>
      <c r="E19" s="711"/>
      <c r="F19" s="629" t="s">
        <v>357</v>
      </c>
      <c r="G19" s="630"/>
      <c r="H19" s="630"/>
      <c r="I19" s="630"/>
      <c r="J19" s="630" t="s">
        <v>358</v>
      </c>
      <c r="K19" s="630"/>
      <c r="L19" s="630"/>
      <c r="M19" s="631"/>
      <c r="N19" s="623"/>
      <c r="O19" s="624"/>
      <c r="P19" s="624"/>
      <c r="Q19" s="624"/>
      <c r="R19" s="644"/>
      <c r="S19" s="645"/>
      <c r="T19" s="838">
        <f>IF(ISBLANK(T18),"",DATEDIF(T18,MY_NAME_DEF!$D$21,"Y"))</f>
        <v>31</v>
      </c>
      <c r="U19" s="839"/>
      <c r="V19" s="839"/>
      <c r="W19" s="839"/>
      <c r="X19" s="839"/>
      <c r="Y19" s="608" t="s">
        <v>402</v>
      </c>
      <c r="Z19" s="609"/>
      <c r="AA19" s="609"/>
      <c r="AB19" s="609"/>
      <c r="AC19" s="609"/>
      <c r="AD19" s="609"/>
      <c r="AE19" s="609"/>
      <c r="AF19" s="609"/>
      <c r="AG19" s="609"/>
      <c r="AH19" s="609"/>
      <c r="AI19" s="301" t="s">
        <v>397</v>
      </c>
      <c r="AJ19" s="840" t="s">
        <v>403</v>
      </c>
      <c r="AK19" s="840"/>
      <c r="AL19" s="840"/>
      <c r="AM19" s="840"/>
      <c r="AN19" s="840"/>
      <c r="AO19" s="840"/>
      <c r="AP19" s="841"/>
      <c r="AQ19" s="554"/>
      <c r="AR19" s="555"/>
      <c r="AS19" s="555"/>
      <c r="AT19" s="555"/>
      <c r="AU19" s="555"/>
      <c r="AV19" s="555"/>
      <c r="AW19" s="555"/>
      <c r="AX19" s="555"/>
      <c r="AY19" s="555"/>
      <c r="AZ19" s="556"/>
      <c r="BA19" s="583"/>
      <c r="BB19" s="584"/>
      <c r="BC19" s="584"/>
      <c r="BD19" s="585"/>
      <c r="CA19" s="98" t="s">
        <v>372</v>
      </c>
      <c r="CB19" s="98" t="s">
        <v>361</v>
      </c>
      <c r="CC19" s="98" t="s">
        <v>362</v>
      </c>
      <c r="CD19" s="98" t="s">
        <v>363</v>
      </c>
      <c r="CE19" s="98" t="s">
        <v>364</v>
      </c>
      <c r="CF19" s="98" t="s">
        <v>365</v>
      </c>
      <c r="CG19" s="655" t="s">
        <v>366</v>
      </c>
      <c r="CH19" s="655"/>
      <c r="CI19" s="98" t="s">
        <v>367</v>
      </c>
      <c r="CJ19" s="98" t="s">
        <v>368</v>
      </c>
      <c r="CK19" s="98" t="s">
        <v>377</v>
      </c>
      <c r="CL19" s="98" t="s">
        <v>369</v>
      </c>
      <c r="CM19" s="98" t="s">
        <v>370</v>
      </c>
      <c r="CN19" s="98" t="s">
        <v>371</v>
      </c>
      <c r="CO19" s="98" t="s">
        <v>355</v>
      </c>
      <c r="CP19" s="222" t="s">
        <v>490</v>
      </c>
    </row>
    <row r="20" spans="2:94" ht="25.5" customHeight="1" thickBot="1" x14ac:dyDescent="0.5">
      <c r="B20" s="703"/>
      <c r="C20" s="703"/>
      <c r="F20" s="239" t="s">
        <v>526</v>
      </c>
      <c r="U20" s="93"/>
      <c r="W20" s="100"/>
      <c r="X20" s="103"/>
      <c r="BD20" s="240" t="str">
        <f>"(注)年齢は、"&amp;TEXT(MY_NAME_DEF!D21,"yyyy")&amp;"年"&amp;TEXT(MY_NAME_DEF!D21,"m")&amp;"月"&amp;TEXT(MY_NAME_DEF!D21,"d")&amp;"日"&amp;"時点で計算しています。"</f>
        <v>(注)年齢は、2023年4月1日時点で計算しています。</v>
      </c>
    </row>
    <row r="21" spans="2:94" ht="21" customHeight="1" x14ac:dyDescent="0.15">
      <c r="B21" s="716">
        <v>1</v>
      </c>
      <c r="C21" s="717"/>
      <c r="D21" s="717"/>
      <c r="E21" s="717"/>
      <c r="F21" s="724"/>
      <c r="G21" s="725"/>
      <c r="H21" s="725"/>
      <c r="I21" s="725"/>
      <c r="J21" s="725"/>
      <c r="K21" s="725"/>
      <c r="L21" s="725"/>
      <c r="M21" s="842"/>
      <c r="N21" s="729"/>
      <c r="O21" s="730"/>
      <c r="P21" s="730"/>
      <c r="Q21" s="730"/>
      <c r="R21" s="843" t="s">
        <v>483</v>
      </c>
      <c r="S21" s="844"/>
      <c r="T21" s="736"/>
      <c r="U21" s="737"/>
      <c r="V21" s="737"/>
      <c r="W21" s="737"/>
      <c r="X21" s="738"/>
      <c r="Y21" s="540"/>
      <c r="Z21" s="541"/>
      <c r="AA21" s="541"/>
      <c r="AB21" s="541"/>
      <c r="AC21" s="541"/>
      <c r="AD21" s="541"/>
      <c r="AE21" s="541"/>
      <c r="AF21" s="541"/>
      <c r="AG21" s="541"/>
      <c r="AH21" s="541"/>
      <c r="AI21" s="541"/>
      <c r="AJ21" s="541"/>
      <c r="AK21" s="541"/>
      <c r="AL21" s="541"/>
      <c r="AM21" s="541"/>
      <c r="AN21" s="541"/>
      <c r="AO21" s="541"/>
      <c r="AP21" s="541"/>
      <c r="AQ21" s="541"/>
      <c r="AR21" s="541"/>
      <c r="AS21" s="541"/>
      <c r="AT21" s="541"/>
      <c r="AU21" s="541"/>
      <c r="AV21" s="541"/>
      <c r="AW21" s="541"/>
      <c r="AX21" s="541"/>
      <c r="AY21" s="541"/>
      <c r="AZ21" s="542"/>
      <c r="BA21" s="571" t="str">
        <f>IF(N21="","",IF(CA21,0,VLOOKUP(N21,MY_MATRIX!$A$2:$C$4,3,0)))</f>
        <v/>
      </c>
      <c r="BB21" s="572"/>
      <c r="BC21" s="572"/>
      <c r="BD21" s="573"/>
      <c r="CA21" s="101" t="b">
        <f>IF(R21="",FALSE,IF(R21="（今回登録）",FALSE,TRUE))</f>
        <v>0</v>
      </c>
      <c r="CB21" s="94">
        <f>B21</f>
        <v>1</v>
      </c>
      <c r="CC21" s="87" t="str">
        <f>F22&amp;""</f>
        <v/>
      </c>
      <c r="CD21" s="87" t="str">
        <f>J22&amp;""</f>
        <v/>
      </c>
      <c r="CE21" s="87" t="str">
        <f>F21&amp;""</f>
        <v/>
      </c>
      <c r="CF21" s="87" t="str">
        <f>J21&amp;""</f>
        <v/>
      </c>
      <c r="CG21" s="87" t="str">
        <f>N21&amp;""</f>
        <v/>
      </c>
      <c r="CH21" s="87" t="str">
        <f>IF(AND(CC21&lt;&gt;"",CD21&lt;&gt;"",CE21&lt;&gt;"",CF21&lt;&gt;"",CG21&lt;&gt;""),CG21,"")</f>
        <v/>
      </c>
      <c r="CI21" s="96" t="str">
        <f>IF(T21="","",T21)</f>
        <v/>
      </c>
      <c r="CJ21" s="87" t="str">
        <f>T22&amp;""</f>
        <v/>
      </c>
      <c r="CO21" s="87" t="str">
        <f>BA21&amp;""</f>
        <v/>
      </c>
      <c r="CP21" s="87" t="str">
        <f>R21&amp;""</f>
        <v>（今回登録）</v>
      </c>
    </row>
    <row r="22" spans="2:94" ht="21" customHeight="1" thickBot="1" x14ac:dyDescent="0.2">
      <c r="B22" s="714"/>
      <c r="C22" s="715"/>
      <c r="D22" s="715"/>
      <c r="E22" s="715"/>
      <c r="F22" s="733"/>
      <c r="G22" s="734"/>
      <c r="H22" s="734"/>
      <c r="I22" s="734"/>
      <c r="J22" s="734"/>
      <c r="K22" s="734"/>
      <c r="L22" s="734"/>
      <c r="M22" s="735"/>
      <c r="N22" s="731"/>
      <c r="O22" s="732"/>
      <c r="P22" s="732"/>
      <c r="Q22" s="732"/>
      <c r="R22" s="597"/>
      <c r="S22" s="598"/>
      <c r="T22" s="589" t="str">
        <f>IF(ISBLANK(T21),"",DATEDIF(T21,MY_NAME_DEF!$D$21,"Y"))</f>
        <v/>
      </c>
      <c r="U22" s="590"/>
      <c r="V22" s="590"/>
      <c r="W22" s="590"/>
      <c r="X22" s="591"/>
      <c r="Y22" s="586"/>
      <c r="Z22" s="587"/>
      <c r="AA22" s="587"/>
      <c r="AB22" s="587"/>
      <c r="AC22" s="587"/>
      <c r="AD22" s="587"/>
      <c r="AE22" s="587"/>
      <c r="AF22" s="587"/>
      <c r="AG22" s="587"/>
      <c r="AH22" s="588"/>
      <c r="AI22" s="302" t="s">
        <v>397</v>
      </c>
      <c r="AJ22" s="599"/>
      <c r="AK22" s="599"/>
      <c r="AL22" s="599"/>
      <c r="AM22" s="599"/>
      <c r="AN22" s="599"/>
      <c r="AO22" s="599"/>
      <c r="AP22" s="600"/>
      <c r="AQ22" s="537"/>
      <c r="AR22" s="538"/>
      <c r="AS22" s="538"/>
      <c r="AT22" s="538"/>
      <c r="AU22" s="538"/>
      <c r="AV22" s="538"/>
      <c r="AW22" s="538"/>
      <c r="AX22" s="538"/>
      <c r="AY22" s="538"/>
      <c r="AZ22" s="539"/>
      <c r="BA22" s="568"/>
      <c r="BB22" s="569"/>
      <c r="BC22" s="569"/>
      <c r="BD22" s="570"/>
      <c r="CA22" s="101"/>
      <c r="CB22" s="97"/>
      <c r="CC22" s="98"/>
      <c r="CD22" s="98"/>
      <c r="CE22" s="98"/>
      <c r="CF22" s="98"/>
      <c r="CG22" s="98"/>
      <c r="CH22" s="98"/>
      <c r="CI22" s="99"/>
      <c r="CJ22" s="98"/>
      <c r="CK22" s="98"/>
      <c r="CL22" s="98"/>
      <c r="CM22" s="98"/>
      <c r="CN22" s="98"/>
      <c r="CO22" s="98"/>
      <c r="CP22" s="98"/>
    </row>
    <row r="23" spans="2:94" ht="21" customHeight="1" thickTop="1" x14ac:dyDescent="0.15">
      <c r="B23" s="712">
        <v>2</v>
      </c>
      <c r="C23" s="713"/>
      <c r="D23" s="713"/>
      <c r="E23" s="713"/>
      <c r="F23" s="726"/>
      <c r="G23" s="727"/>
      <c r="H23" s="727"/>
      <c r="I23" s="727"/>
      <c r="J23" s="727"/>
      <c r="K23" s="727"/>
      <c r="L23" s="727"/>
      <c r="M23" s="728"/>
      <c r="N23" s="739"/>
      <c r="O23" s="740"/>
      <c r="P23" s="740"/>
      <c r="Q23" s="740"/>
      <c r="R23" s="595" t="s">
        <v>483</v>
      </c>
      <c r="S23" s="596"/>
      <c r="T23" s="592"/>
      <c r="U23" s="593"/>
      <c r="V23" s="593"/>
      <c r="W23" s="593"/>
      <c r="X23" s="594"/>
      <c r="Y23" s="540"/>
      <c r="Z23" s="541"/>
      <c r="AA23" s="541"/>
      <c r="AB23" s="541"/>
      <c r="AC23" s="541"/>
      <c r="AD23" s="541"/>
      <c r="AE23" s="541"/>
      <c r="AF23" s="541"/>
      <c r="AG23" s="541"/>
      <c r="AH23" s="541"/>
      <c r="AI23" s="541"/>
      <c r="AJ23" s="541"/>
      <c r="AK23" s="541"/>
      <c r="AL23" s="541"/>
      <c r="AM23" s="541"/>
      <c r="AN23" s="541"/>
      <c r="AO23" s="541"/>
      <c r="AP23" s="541"/>
      <c r="AQ23" s="541"/>
      <c r="AR23" s="541"/>
      <c r="AS23" s="541"/>
      <c r="AT23" s="541"/>
      <c r="AU23" s="541"/>
      <c r="AV23" s="541"/>
      <c r="AW23" s="541"/>
      <c r="AX23" s="541"/>
      <c r="AY23" s="541"/>
      <c r="AZ23" s="542"/>
      <c r="BA23" s="565" t="str">
        <f>IF(N23="","",IF(CA23,0,VLOOKUP(N23,MY_MATRIX!$A$2:$C$4,3,0)))</f>
        <v/>
      </c>
      <c r="BB23" s="566"/>
      <c r="BC23" s="566"/>
      <c r="BD23" s="567"/>
      <c r="CA23" s="101" t="b">
        <f>IF(R23="",FALSE,IF(R23="（今回登録）",FALSE,TRUE))</f>
        <v>0</v>
      </c>
      <c r="CB23" s="94">
        <f>B23</f>
        <v>2</v>
      </c>
      <c r="CC23" s="87" t="str">
        <f>F24&amp;""</f>
        <v/>
      </c>
      <c r="CD23" s="87" t="str">
        <f>J24&amp;""</f>
        <v/>
      </c>
      <c r="CE23" s="87" t="str">
        <f>F23&amp;""</f>
        <v/>
      </c>
      <c r="CF23" s="87" t="str">
        <f>J23&amp;""</f>
        <v/>
      </c>
      <c r="CG23" s="87" t="str">
        <f>N23&amp;""</f>
        <v/>
      </c>
      <c r="CH23" s="87" t="str">
        <f>IF(AND(CC23&lt;&gt;"",CD23&lt;&gt;"",CE23&lt;&gt;"",CF23&lt;&gt;"",CG23&lt;&gt;""),CG23,"")</f>
        <v/>
      </c>
      <c r="CI23" s="96" t="str">
        <f>IF(T23="","",T23)</f>
        <v/>
      </c>
      <c r="CJ23" s="87" t="str">
        <f>T24&amp;""</f>
        <v/>
      </c>
      <c r="CO23" s="87" t="str">
        <f t="shared" ref="CO23:CO59" si="0">BA23&amp;""</f>
        <v/>
      </c>
      <c r="CP23" s="87" t="str">
        <f>R23&amp;""</f>
        <v>（今回登録）</v>
      </c>
    </row>
    <row r="24" spans="2:94" ht="21" customHeight="1" thickBot="1" x14ac:dyDescent="0.2">
      <c r="B24" s="714"/>
      <c r="C24" s="715"/>
      <c r="D24" s="715"/>
      <c r="E24" s="715"/>
      <c r="F24" s="733"/>
      <c r="G24" s="734"/>
      <c r="H24" s="734"/>
      <c r="I24" s="734"/>
      <c r="J24" s="734"/>
      <c r="K24" s="734"/>
      <c r="L24" s="734"/>
      <c r="M24" s="735"/>
      <c r="N24" s="731"/>
      <c r="O24" s="732"/>
      <c r="P24" s="732"/>
      <c r="Q24" s="732"/>
      <c r="R24" s="597"/>
      <c r="S24" s="598"/>
      <c r="T24" s="589" t="str">
        <f>IF(ISBLANK(T23),"",DATEDIF(T23,MY_NAME_DEF!$D$21,"Y"))</f>
        <v/>
      </c>
      <c r="U24" s="590"/>
      <c r="V24" s="590"/>
      <c r="W24" s="590"/>
      <c r="X24" s="591"/>
      <c r="Y24" s="586"/>
      <c r="Z24" s="587"/>
      <c r="AA24" s="587"/>
      <c r="AB24" s="587"/>
      <c r="AC24" s="587"/>
      <c r="AD24" s="587"/>
      <c r="AE24" s="587"/>
      <c r="AF24" s="587"/>
      <c r="AG24" s="587"/>
      <c r="AH24" s="588"/>
      <c r="AI24" s="302" t="s">
        <v>397</v>
      </c>
      <c r="AJ24" s="599"/>
      <c r="AK24" s="599"/>
      <c r="AL24" s="599"/>
      <c r="AM24" s="599"/>
      <c r="AN24" s="599"/>
      <c r="AO24" s="599"/>
      <c r="AP24" s="600"/>
      <c r="AQ24" s="537"/>
      <c r="AR24" s="538"/>
      <c r="AS24" s="538"/>
      <c r="AT24" s="538"/>
      <c r="AU24" s="538"/>
      <c r="AV24" s="538"/>
      <c r="AW24" s="538"/>
      <c r="AX24" s="538"/>
      <c r="AY24" s="538"/>
      <c r="AZ24" s="539"/>
      <c r="BA24" s="568"/>
      <c r="BB24" s="569"/>
      <c r="BC24" s="569"/>
      <c r="BD24" s="570"/>
      <c r="CA24" s="101"/>
      <c r="CB24" s="97"/>
      <c r="CC24" s="98"/>
      <c r="CD24" s="98"/>
      <c r="CE24" s="98"/>
      <c r="CF24" s="98"/>
      <c r="CG24" s="98"/>
      <c r="CH24" s="98"/>
      <c r="CI24" s="99"/>
      <c r="CJ24" s="98"/>
      <c r="CK24" s="98"/>
      <c r="CL24" s="98"/>
      <c r="CM24" s="98"/>
      <c r="CN24" s="98"/>
      <c r="CO24" s="98"/>
      <c r="CP24" s="98"/>
    </row>
    <row r="25" spans="2:94" ht="21" customHeight="1" thickTop="1" x14ac:dyDescent="0.15">
      <c r="B25" s="712">
        <v>3</v>
      </c>
      <c r="C25" s="713"/>
      <c r="D25" s="713"/>
      <c r="E25" s="713"/>
      <c r="F25" s="726"/>
      <c r="G25" s="727"/>
      <c r="H25" s="727"/>
      <c r="I25" s="727"/>
      <c r="J25" s="727"/>
      <c r="K25" s="727"/>
      <c r="L25" s="727"/>
      <c r="M25" s="728"/>
      <c r="N25" s="739"/>
      <c r="O25" s="740"/>
      <c r="P25" s="740"/>
      <c r="Q25" s="740"/>
      <c r="R25" s="595" t="s">
        <v>483</v>
      </c>
      <c r="S25" s="596"/>
      <c r="T25" s="592"/>
      <c r="U25" s="593"/>
      <c r="V25" s="593"/>
      <c r="W25" s="593"/>
      <c r="X25" s="594"/>
      <c r="Y25" s="540"/>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541"/>
      <c r="AV25" s="541"/>
      <c r="AW25" s="541"/>
      <c r="AX25" s="541"/>
      <c r="AY25" s="541"/>
      <c r="AZ25" s="542"/>
      <c r="BA25" s="565" t="str">
        <f>IF(N25="","",IF(CA25,0,VLOOKUP(N25,MY_MATRIX!$A$2:$C$4,3,0)))</f>
        <v/>
      </c>
      <c r="BB25" s="566"/>
      <c r="BC25" s="566"/>
      <c r="BD25" s="567"/>
      <c r="CA25" s="101" t="b">
        <f>IF(R25="",FALSE,IF(R25="（今回登録）",FALSE,TRUE))</f>
        <v>0</v>
      </c>
      <c r="CB25" s="94">
        <f>B25</f>
        <v>3</v>
      </c>
      <c r="CC25" s="87" t="str">
        <f>F26&amp;""</f>
        <v/>
      </c>
      <c r="CD25" s="87" t="str">
        <f>J26&amp;""</f>
        <v/>
      </c>
      <c r="CE25" s="87" t="str">
        <f>F25&amp;""</f>
        <v/>
      </c>
      <c r="CF25" s="87" t="str">
        <f>J25&amp;""</f>
        <v/>
      </c>
      <c r="CG25" s="87" t="str">
        <f>N25&amp;""</f>
        <v/>
      </c>
      <c r="CH25" s="87" t="str">
        <f>IF(AND(CC25&lt;&gt;"",CD25&lt;&gt;"",CE25&lt;&gt;"",CF25&lt;&gt;"",CG25&lt;&gt;""),CG25,"")</f>
        <v/>
      </c>
      <c r="CI25" s="96" t="str">
        <f>IF(T25="","",T25)</f>
        <v/>
      </c>
      <c r="CJ25" s="87" t="str">
        <f>T26&amp;""</f>
        <v/>
      </c>
      <c r="CO25" s="87" t="str">
        <f t="shared" si="0"/>
        <v/>
      </c>
      <c r="CP25" s="87" t="str">
        <f>R25&amp;""</f>
        <v>（今回登録）</v>
      </c>
    </row>
    <row r="26" spans="2:94" ht="21" customHeight="1" thickBot="1" x14ac:dyDescent="0.2">
      <c r="B26" s="714"/>
      <c r="C26" s="715"/>
      <c r="D26" s="715"/>
      <c r="E26" s="715"/>
      <c r="F26" s="733"/>
      <c r="G26" s="734"/>
      <c r="H26" s="734"/>
      <c r="I26" s="734"/>
      <c r="J26" s="734"/>
      <c r="K26" s="734"/>
      <c r="L26" s="734"/>
      <c r="M26" s="735"/>
      <c r="N26" s="731"/>
      <c r="O26" s="732"/>
      <c r="P26" s="732"/>
      <c r="Q26" s="732"/>
      <c r="R26" s="597"/>
      <c r="S26" s="598"/>
      <c r="T26" s="589" t="str">
        <f>IF(ISBLANK(T25),"",DATEDIF(T25,MY_NAME_DEF!$D$21,"Y"))</f>
        <v/>
      </c>
      <c r="U26" s="590"/>
      <c r="V26" s="590"/>
      <c r="W26" s="590"/>
      <c r="X26" s="591"/>
      <c r="Y26" s="586"/>
      <c r="Z26" s="587"/>
      <c r="AA26" s="587"/>
      <c r="AB26" s="587"/>
      <c r="AC26" s="587"/>
      <c r="AD26" s="587"/>
      <c r="AE26" s="587"/>
      <c r="AF26" s="587"/>
      <c r="AG26" s="587"/>
      <c r="AH26" s="588"/>
      <c r="AI26" s="302" t="s">
        <v>397</v>
      </c>
      <c r="AJ26" s="599"/>
      <c r="AK26" s="599"/>
      <c r="AL26" s="599"/>
      <c r="AM26" s="599"/>
      <c r="AN26" s="599"/>
      <c r="AO26" s="599"/>
      <c r="AP26" s="600"/>
      <c r="AQ26" s="537"/>
      <c r="AR26" s="538"/>
      <c r="AS26" s="538"/>
      <c r="AT26" s="538"/>
      <c r="AU26" s="538"/>
      <c r="AV26" s="538"/>
      <c r="AW26" s="538"/>
      <c r="AX26" s="538"/>
      <c r="AY26" s="538"/>
      <c r="AZ26" s="539"/>
      <c r="BA26" s="568"/>
      <c r="BB26" s="569"/>
      <c r="BC26" s="569"/>
      <c r="BD26" s="570"/>
      <c r="CA26" s="101"/>
      <c r="CB26" s="97"/>
      <c r="CC26" s="98"/>
      <c r="CD26" s="98"/>
      <c r="CE26" s="98"/>
      <c r="CF26" s="98"/>
      <c r="CG26" s="98"/>
      <c r="CH26" s="98"/>
      <c r="CI26" s="99"/>
      <c r="CJ26" s="98"/>
      <c r="CK26" s="98"/>
      <c r="CL26" s="98"/>
      <c r="CM26" s="98"/>
      <c r="CN26" s="98"/>
      <c r="CO26" s="98"/>
      <c r="CP26" s="98"/>
    </row>
    <row r="27" spans="2:94" ht="21" customHeight="1" thickTop="1" x14ac:dyDescent="0.15">
      <c r="B27" s="712">
        <v>4</v>
      </c>
      <c r="C27" s="713"/>
      <c r="D27" s="713"/>
      <c r="E27" s="713"/>
      <c r="F27" s="726"/>
      <c r="G27" s="727"/>
      <c r="H27" s="727"/>
      <c r="I27" s="727"/>
      <c r="J27" s="727"/>
      <c r="K27" s="727"/>
      <c r="L27" s="727"/>
      <c r="M27" s="728"/>
      <c r="N27" s="739"/>
      <c r="O27" s="740"/>
      <c r="P27" s="740"/>
      <c r="Q27" s="740"/>
      <c r="R27" s="595" t="s">
        <v>483</v>
      </c>
      <c r="S27" s="596"/>
      <c r="T27" s="592"/>
      <c r="U27" s="593"/>
      <c r="V27" s="593"/>
      <c r="W27" s="593"/>
      <c r="X27" s="594"/>
      <c r="Y27" s="540"/>
      <c r="Z27" s="541"/>
      <c r="AA27" s="541"/>
      <c r="AB27" s="541"/>
      <c r="AC27" s="541"/>
      <c r="AD27" s="541"/>
      <c r="AE27" s="541"/>
      <c r="AF27" s="541"/>
      <c r="AG27" s="541"/>
      <c r="AH27" s="541"/>
      <c r="AI27" s="541"/>
      <c r="AJ27" s="541"/>
      <c r="AK27" s="541"/>
      <c r="AL27" s="541"/>
      <c r="AM27" s="541"/>
      <c r="AN27" s="541"/>
      <c r="AO27" s="541"/>
      <c r="AP27" s="541"/>
      <c r="AQ27" s="541"/>
      <c r="AR27" s="541"/>
      <c r="AS27" s="541"/>
      <c r="AT27" s="541"/>
      <c r="AU27" s="541"/>
      <c r="AV27" s="541"/>
      <c r="AW27" s="541"/>
      <c r="AX27" s="541"/>
      <c r="AY27" s="541"/>
      <c r="AZ27" s="542"/>
      <c r="BA27" s="565" t="str">
        <f>IF(N27="","",IF(CA27,0,VLOOKUP(N27,MY_MATRIX!$A$2:$C$4,3,0)))</f>
        <v/>
      </c>
      <c r="BB27" s="566"/>
      <c r="BC27" s="566"/>
      <c r="BD27" s="567"/>
      <c r="CA27" s="101" t="b">
        <f>IF(R27="",FALSE,IF(R27="（今回登録）",FALSE,TRUE))</f>
        <v>0</v>
      </c>
      <c r="CB27" s="94">
        <f>B27</f>
        <v>4</v>
      </c>
      <c r="CC27" s="87" t="str">
        <f>F28&amp;""</f>
        <v/>
      </c>
      <c r="CD27" s="87" t="str">
        <f>J28&amp;""</f>
        <v/>
      </c>
      <c r="CE27" s="87" t="str">
        <f>F27&amp;""</f>
        <v/>
      </c>
      <c r="CF27" s="87" t="str">
        <f>J27&amp;""</f>
        <v/>
      </c>
      <c r="CG27" s="87" t="str">
        <f>N27&amp;""</f>
        <v/>
      </c>
      <c r="CH27" s="87" t="str">
        <f>IF(AND(CC27&lt;&gt;"",CD27&lt;&gt;"",CE27&lt;&gt;"",CF27&lt;&gt;"",CG27&lt;&gt;""),CG27,"")</f>
        <v/>
      </c>
      <c r="CI27" s="96" t="str">
        <f>IF(T27="","",T27)</f>
        <v/>
      </c>
      <c r="CJ27" s="87" t="str">
        <f>T28&amp;""</f>
        <v/>
      </c>
      <c r="CO27" s="87" t="str">
        <f t="shared" si="0"/>
        <v/>
      </c>
      <c r="CP27" s="87" t="str">
        <f>R27&amp;""</f>
        <v>（今回登録）</v>
      </c>
    </row>
    <row r="28" spans="2:94" ht="21" customHeight="1" thickBot="1" x14ac:dyDescent="0.2">
      <c r="B28" s="714"/>
      <c r="C28" s="715"/>
      <c r="D28" s="715"/>
      <c r="E28" s="715"/>
      <c r="F28" s="733"/>
      <c r="G28" s="734"/>
      <c r="H28" s="734"/>
      <c r="I28" s="734"/>
      <c r="J28" s="734"/>
      <c r="K28" s="734"/>
      <c r="L28" s="734"/>
      <c r="M28" s="735"/>
      <c r="N28" s="731"/>
      <c r="O28" s="732"/>
      <c r="P28" s="732"/>
      <c r="Q28" s="732"/>
      <c r="R28" s="597"/>
      <c r="S28" s="598"/>
      <c r="T28" s="589" t="str">
        <f>IF(ISBLANK(T27),"",DATEDIF(T27,MY_NAME_DEF!$D$21,"Y"))</f>
        <v/>
      </c>
      <c r="U28" s="590"/>
      <c r="V28" s="590"/>
      <c r="W28" s="590"/>
      <c r="X28" s="591"/>
      <c r="Y28" s="586"/>
      <c r="Z28" s="587"/>
      <c r="AA28" s="587"/>
      <c r="AB28" s="587"/>
      <c r="AC28" s="587"/>
      <c r="AD28" s="587"/>
      <c r="AE28" s="587"/>
      <c r="AF28" s="587"/>
      <c r="AG28" s="587"/>
      <c r="AH28" s="588"/>
      <c r="AI28" s="302" t="s">
        <v>397</v>
      </c>
      <c r="AJ28" s="599"/>
      <c r="AK28" s="599"/>
      <c r="AL28" s="599"/>
      <c r="AM28" s="599"/>
      <c r="AN28" s="599"/>
      <c r="AO28" s="599"/>
      <c r="AP28" s="600"/>
      <c r="AQ28" s="537"/>
      <c r="AR28" s="538"/>
      <c r="AS28" s="538"/>
      <c r="AT28" s="538"/>
      <c r="AU28" s="538"/>
      <c r="AV28" s="538"/>
      <c r="AW28" s="538"/>
      <c r="AX28" s="538"/>
      <c r="AY28" s="538"/>
      <c r="AZ28" s="539"/>
      <c r="BA28" s="568"/>
      <c r="BB28" s="569"/>
      <c r="BC28" s="569"/>
      <c r="BD28" s="570"/>
      <c r="CA28" s="101"/>
      <c r="CB28" s="97"/>
      <c r="CC28" s="98"/>
      <c r="CD28" s="98"/>
      <c r="CE28" s="98"/>
      <c r="CF28" s="98"/>
      <c r="CG28" s="98"/>
      <c r="CH28" s="98"/>
      <c r="CI28" s="99"/>
      <c r="CJ28" s="98"/>
      <c r="CK28" s="98"/>
      <c r="CL28" s="98"/>
      <c r="CM28" s="98"/>
      <c r="CN28" s="98"/>
      <c r="CO28" s="98"/>
      <c r="CP28" s="98"/>
    </row>
    <row r="29" spans="2:94" ht="21" customHeight="1" thickTop="1" x14ac:dyDescent="0.15">
      <c r="B29" s="712">
        <v>5</v>
      </c>
      <c r="C29" s="713"/>
      <c r="D29" s="713"/>
      <c r="E29" s="713"/>
      <c r="F29" s="726"/>
      <c r="G29" s="727"/>
      <c r="H29" s="727"/>
      <c r="I29" s="727"/>
      <c r="J29" s="727"/>
      <c r="K29" s="727"/>
      <c r="L29" s="727"/>
      <c r="M29" s="728"/>
      <c r="N29" s="739"/>
      <c r="O29" s="740"/>
      <c r="P29" s="740"/>
      <c r="Q29" s="740"/>
      <c r="R29" s="595" t="s">
        <v>483</v>
      </c>
      <c r="S29" s="596"/>
      <c r="T29" s="592"/>
      <c r="U29" s="593"/>
      <c r="V29" s="593"/>
      <c r="W29" s="593"/>
      <c r="X29" s="594"/>
      <c r="Y29" s="540"/>
      <c r="Z29" s="541"/>
      <c r="AA29" s="541"/>
      <c r="AB29" s="541"/>
      <c r="AC29" s="541"/>
      <c r="AD29" s="541"/>
      <c r="AE29" s="541"/>
      <c r="AF29" s="541"/>
      <c r="AG29" s="541"/>
      <c r="AH29" s="541"/>
      <c r="AI29" s="541"/>
      <c r="AJ29" s="541"/>
      <c r="AK29" s="541"/>
      <c r="AL29" s="541"/>
      <c r="AM29" s="541"/>
      <c r="AN29" s="541"/>
      <c r="AO29" s="541"/>
      <c r="AP29" s="541"/>
      <c r="AQ29" s="541"/>
      <c r="AR29" s="541"/>
      <c r="AS29" s="541"/>
      <c r="AT29" s="541"/>
      <c r="AU29" s="541"/>
      <c r="AV29" s="541"/>
      <c r="AW29" s="541"/>
      <c r="AX29" s="541"/>
      <c r="AY29" s="541"/>
      <c r="AZ29" s="542"/>
      <c r="BA29" s="565" t="str">
        <f>IF(N29="","",IF(CA29,0,VLOOKUP(N29,MY_MATRIX!$A$2:$C$4,3,0)))</f>
        <v/>
      </c>
      <c r="BB29" s="566"/>
      <c r="BC29" s="566"/>
      <c r="BD29" s="567"/>
      <c r="CA29" s="101" t="b">
        <f>IF(R29="",FALSE,IF(R29="（今回登録）",FALSE,TRUE))</f>
        <v>0</v>
      </c>
      <c r="CB29" s="94">
        <f>B29</f>
        <v>5</v>
      </c>
      <c r="CC29" s="87" t="str">
        <f>F30&amp;""</f>
        <v/>
      </c>
      <c r="CD29" s="87" t="str">
        <f>J30&amp;""</f>
        <v/>
      </c>
      <c r="CE29" s="87" t="str">
        <f>F29&amp;""</f>
        <v/>
      </c>
      <c r="CF29" s="87" t="str">
        <f>J29&amp;""</f>
        <v/>
      </c>
      <c r="CG29" s="87" t="str">
        <f>N29&amp;""</f>
        <v/>
      </c>
      <c r="CH29" s="87" t="str">
        <f>IF(AND(CC29&lt;&gt;"",CD29&lt;&gt;"",CE29&lt;&gt;"",CF29&lt;&gt;"",CG29&lt;&gt;""),CG29,"")</f>
        <v/>
      </c>
      <c r="CI29" s="96" t="str">
        <f>IF(T29="","",T29)</f>
        <v/>
      </c>
      <c r="CJ29" s="87" t="str">
        <f>T30&amp;""</f>
        <v/>
      </c>
      <c r="CO29" s="87" t="str">
        <f t="shared" si="0"/>
        <v/>
      </c>
      <c r="CP29" s="87" t="str">
        <f>R29&amp;""</f>
        <v>（今回登録）</v>
      </c>
    </row>
    <row r="30" spans="2:94" ht="21" customHeight="1" thickBot="1" x14ac:dyDescent="0.2">
      <c r="B30" s="714"/>
      <c r="C30" s="715"/>
      <c r="D30" s="715"/>
      <c r="E30" s="715"/>
      <c r="F30" s="733"/>
      <c r="G30" s="734"/>
      <c r="H30" s="734"/>
      <c r="I30" s="734"/>
      <c r="J30" s="734"/>
      <c r="K30" s="734"/>
      <c r="L30" s="734"/>
      <c r="M30" s="735"/>
      <c r="N30" s="731"/>
      <c r="O30" s="732"/>
      <c r="P30" s="732"/>
      <c r="Q30" s="732"/>
      <c r="R30" s="597"/>
      <c r="S30" s="598"/>
      <c r="T30" s="589" t="str">
        <f>IF(ISBLANK(T29),"",DATEDIF(T29,MY_NAME_DEF!$D$21,"Y"))</f>
        <v/>
      </c>
      <c r="U30" s="590"/>
      <c r="V30" s="590"/>
      <c r="W30" s="590"/>
      <c r="X30" s="591"/>
      <c r="Y30" s="586"/>
      <c r="Z30" s="587"/>
      <c r="AA30" s="587"/>
      <c r="AB30" s="587"/>
      <c r="AC30" s="587"/>
      <c r="AD30" s="587"/>
      <c r="AE30" s="587"/>
      <c r="AF30" s="587"/>
      <c r="AG30" s="587"/>
      <c r="AH30" s="588"/>
      <c r="AI30" s="302" t="s">
        <v>397</v>
      </c>
      <c r="AJ30" s="599"/>
      <c r="AK30" s="599"/>
      <c r="AL30" s="599"/>
      <c r="AM30" s="599"/>
      <c r="AN30" s="599"/>
      <c r="AO30" s="599"/>
      <c r="AP30" s="600"/>
      <c r="AQ30" s="537"/>
      <c r="AR30" s="538"/>
      <c r="AS30" s="538"/>
      <c r="AT30" s="538"/>
      <c r="AU30" s="538"/>
      <c r="AV30" s="538"/>
      <c r="AW30" s="538"/>
      <c r="AX30" s="538"/>
      <c r="AY30" s="538"/>
      <c r="AZ30" s="539"/>
      <c r="BA30" s="568"/>
      <c r="BB30" s="569"/>
      <c r="BC30" s="569"/>
      <c r="BD30" s="570"/>
      <c r="CA30" s="101"/>
      <c r="CB30" s="97"/>
      <c r="CC30" s="98"/>
      <c r="CD30" s="98"/>
      <c r="CE30" s="98"/>
      <c r="CF30" s="98"/>
      <c r="CG30" s="98"/>
      <c r="CH30" s="98"/>
      <c r="CI30" s="99"/>
      <c r="CJ30" s="98"/>
      <c r="CK30" s="98"/>
      <c r="CL30" s="98"/>
      <c r="CM30" s="98"/>
      <c r="CN30" s="98"/>
      <c r="CO30" s="98"/>
      <c r="CP30" s="98"/>
    </row>
    <row r="31" spans="2:94" ht="21" customHeight="1" thickTop="1" x14ac:dyDescent="0.15">
      <c r="B31" s="712">
        <v>6</v>
      </c>
      <c r="C31" s="713"/>
      <c r="D31" s="713"/>
      <c r="E31" s="713"/>
      <c r="F31" s="726"/>
      <c r="G31" s="727"/>
      <c r="H31" s="727"/>
      <c r="I31" s="727"/>
      <c r="J31" s="727"/>
      <c r="K31" s="727"/>
      <c r="L31" s="727"/>
      <c r="M31" s="728"/>
      <c r="N31" s="739"/>
      <c r="O31" s="740"/>
      <c r="P31" s="740"/>
      <c r="Q31" s="740"/>
      <c r="R31" s="595" t="s">
        <v>483</v>
      </c>
      <c r="S31" s="596"/>
      <c r="T31" s="592"/>
      <c r="U31" s="593"/>
      <c r="V31" s="593"/>
      <c r="W31" s="593"/>
      <c r="X31" s="594"/>
      <c r="Y31" s="540"/>
      <c r="Z31" s="541"/>
      <c r="AA31" s="541"/>
      <c r="AB31" s="541"/>
      <c r="AC31" s="541"/>
      <c r="AD31" s="541"/>
      <c r="AE31" s="541"/>
      <c r="AF31" s="541"/>
      <c r="AG31" s="541"/>
      <c r="AH31" s="541"/>
      <c r="AI31" s="541"/>
      <c r="AJ31" s="541"/>
      <c r="AK31" s="541"/>
      <c r="AL31" s="541"/>
      <c r="AM31" s="541"/>
      <c r="AN31" s="541"/>
      <c r="AO31" s="541"/>
      <c r="AP31" s="541"/>
      <c r="AQ31" s="541"/>
      <c r="AR31" s="541"/>
      <c r="AS31" s="541"/>
      <c r="AT31" s="541"/>
      <c r="AU31" s="541"/>
      <c r="AV31" s="541"/>
      <c r="AW31" s="541"/>
      <c r="AX31" s="541"/>
      <c r="AY31" s="541"/>
      <c r="AZ31" s="542"/>
      <c r="BA31" s="565" t="str">
        <f>IF(N31="","",IF(CA31,0,VLOOKUP(N31,MY_MATRIX!$A$2:$C$4,3,0)))</f>
        <v/>
      </c>
      <c r="BB31" s="566"/>
      <c r="BC31" s="566"/>
      <c r="BD31" s="567"/>
      <c r="CA31" s="101" t="b">
        <f>IF(R31="",FALSE,IF(R31="（今回登録）",FALSE,TRUE))</f>
        <v>0</v>
      </c>
      <c r="CB31" s="94">
        <f>B31</f>
        <v>6</v>
      </c>
      <c r="CC31" s="87" t="str">
        <f>F32&amp;""</f>
        <v/>
      </c>
      <c r="CD31" s="87" t="str">
        <f>J32&amp;""</f>
        <v/>
      </c>
      <c r="CE31" s="87" t="str">
        <f>F31&amp;""</f>
        <v/>
      </c>
      <c r="CF31" s="87" t="str">
        <f>J31&amp;""</f>
        <v/>
      </c>
      <c r="CG31" s="87" t="str">
        <f>N31&amp;""</f>
        <v/>
      </c>
      <c r="CH31" s="87" t="str">
        <f>IF(AND(CC31&lt;&gt;"",CD31&lt;&gt;"",CE31&lt;&gt;"",CF31&lt;&gt;"",CG31&lt;&gt;""),CG31,"")</f>
        <v/>
      </c>
      <c r="CI31" s="96" t="str">
        <f>IF(T31="","",T31)</f>
        <v/>
      </c>
      <c r="CJ31" s="87" t="str">
        <f>T32&amp;""</f>
        <v/>
      </c>
      <c r="CO31" s="87" t="str">
        <f t="shared" si="0"/>
        <v/>
      </c>
      <c r="CP31" s="87" t="str">
        <f>R31&amp;""</f>
        <v>（今回登録）</v>
      </c>
    </row>
    <row r="32" spans="2:94" ht="21" customHeight="1" thickBot="1" x14ac:dyDescent="0.2">
      <c r="B32" s="714"/>
      <c r="C32" s="715"/>
      <c r="D32" s="715"/>
      <c r="E32" s="715"/>
      <c r="F32" s="733"/>
      <c r="G32" s="734"/>
      <c r="H32" s="734"/>
      <c r="I32" s="734"/>
      <c r="J32" s="734"/>
      <c r="K32" s="734"/>
      <c r="L32" s="734"/>
      <c r="M32" s="735"/>
      <c r="N32" s="731"/>
      <c r="O32" s="732"/>
      <c r="P32" s="732"/>
      <c r="Q32" s="732"/>
      <c r="R32" s="597"/>
      <c r="S32" s="598"/>
      <c r="T32" s="589" t="str">
        <f>IF(ISBLANK(T31),"",DATEDIF(T31,MY_NAME_DEF!$D$21,"Y"))</f>
        <v/>
      </c>
      <c r="U32" s="590"/>
      <c r="V32" s="590"/>
      <c r="W32" s="590"/>
      <c r="X32" s="591"/>
      <c r="Y32" s="586"/>
      <c r="Z32" s="587"/>
      <c r="AA32" s="587"/>
      <c r="AB32" s="587"/>
      <c r="AC32" s="587"/>
      <c r="AD32" s="587"/>
      <c r="AE32" s="587"/>
      <c r="AF32" s="587"/>
      <c r="AG32" s="587"/>
      <c r="AH32" s="588"/>
      <c r="AI32" s="302" t="s">
        <v>397</v>
      </c>
      <c r="AJ32" s="599"/>
      <c r="AK32" s="599"/>
      <c r="AL32" s="599"/>
      <c r="AM32" s="599"/>
      <c r="AN32" s="599"/>
      <c r="AO32" s="599"/>
      <c r="AP32" s="600"/>
      <c r="AQ32" s="537"/>
      <c r="AR32" s="538"/>
      <c r="AS32" s="538"/>
      <c r="AT32" s="538"/>
      <c r="AU32" s="538"/>
      <c r="AV32" s="538"/>
      <c r="AW32" s="538"/>
      <c r="AX32" s="538"/>
      <c r="AY32" s="538"/>
      <c r="AZ32" s="539"/>
      <c r="BA32" s="568"/>
      <c r="BB32" s="569"/>
      <c r="BC32" s="569"/>
      <c r="BD32" s="570"/>
      <c r="CA32" s="101"/>
      <c r="CB32" s="97"/>
      <c r="CC32" s="98"/>
      <c r="CD32" s="98"/>
      <c r="CE32" s="98"/>
      <c r="CF32" s="98"/>
      <c r="CG32" s="98"/>
      <c r="CH32" s="98"/>
      <c r="CI32" s="99"/>
      <c r="CJ32" s="98"/>
      <c r="CK32" s="98"/>
      <c r="CL32" s="98"/>
      <c r="CM32" s="98"/>
      <c r="CN32" s="98"/>
      <c r="CO32" s="98"/>
      <c r="CP32" s="98"/>
    </row>
    <row r="33" spans="2:94" ht="21" customHeight="1" thickTop="1" x14ac:dyDescent="0.15">
      <c r="B33" s="712">
        <v>7</v>
      </c>
      <c r="C33" s="713"/>
      <c r="D33" s="713"/>
      <c r="E33" s="713"/>
      <c r="F33" s="726"/>
      <c r="G33" s="727"/>
      <c r="H33" s="727"/>
      <c r="I33" s="727"/>
      <c r="J33" s="727"/>
      <c r="K33" s="727"/>
      <c r="L33" s="727"/>
      <c r="M33" s="728"/>
      <c r="N33" s="739"/>
      <c r="O33" s="740"/>
      <c r="P33" s="740"/>
      <c r="Q33" s="740"/>
      <c r="R33" s="595" t="s">
        <v>483</v>
      </c>
      <c r="S33" s="596"/>
      <c r="T33" s="592"/>
      <c r="U33" s="593"/>
      <c r="V33" s="593"/>
      <c r="W33" s="593"/>
      <c r="X33" s="594"/>
      <c r="Y33" s="540"/>
      <c r="Z33" s="541"/>
      <c r="AA33" s="541"/>
      <c r="AB33" s="541"/>
      <c r="AC33" s="541"/>
      <c r="AD33" s="541"/>
      <c r="AE33" s="541"/>
      <c r="AF33" s="541"/>
      <c r="AG33" s="541"/>
      <c r="AH33" s="541"/>
      <c r="AI33" s="541"/>
      <c r="AJ33" s="541"/>
      <c r="AK33" s="541"/>
      <c r="AL33" s="541"/>
      <c r="AM33" s="541"/>
      <c r="AN33" s="541"/>
      <c r="AO33" s="541"/>
      <c r="AP33" s="541"/>
      <c r="AQ33" s="541"/>
      <c r="AR33" s="541"/>
      <c r="AS33" s="541"/>
      <c r="AT33" s="541"/>
      <c r="AU33" s="541"/>
      <c r="AV33" s="541"/>
      <c r="AW33" s="541"/>
      <c r="AX33" s="541"/>
      <c r="AY33" s="541"/>
      <c r="AZ33" s="542"/>
      <c r="BA33" s="565" t="str">
        <f>IF(N33="","",IF(CA33,0,VLOOKUP(N33,MY_MATRIX!$A$2:$C$4,3,0)))</f>
        <v/>
      </c>
      <c r="BB33" s="566"/>
      <c r="BC33" s="566"/>
      <c r="BD33" s="567"/>
      <c r="CA33" s="101" t="b">
        <f>IF(R33="",FALSE,IF(R33="（今回登録）",FALSE,TRUE))</f>
        <v>0</v>
      </c>
      <c r="CB33" s="94">
        <f>B33</f>
        <v>7</v>
      </c>
      <c r="CC33" s="87" t="str">
        <f>F34&amp;""</f>
        <v/>
      </c>
      <c r="CD33" s="87" t="str">
        <f>J34&amp;""</f>
        <v/>
      </c>
      <c r="CE33" s="87" t="str">
        <f>F33&amp;""</f>
        <v/>
      </c>
      <c r="CF33" s="87" t="str">
        <f>J33&amp;""</f>
        <v/>
      </c>
      <c r="CG33" s="87" t="str">
        <f>N33&amp;""</f>
        <v/>
      </c>
      <c r="CH33" s="87" t="str">
        <f>IF(AND(CC33&lt;&gt;"",CD33&lt;&gt;"",CE33&lt;&gt;"",CF33&lt;&gt;"",CG33&lt;&gt;""),CG33,"")</f>
        <v/>
      </c>
      <c r="CI33" s="96" t="str">
        <f>IF(T33="","",T33)</f>
        <v/>
      </c>
      <c r="CJ33" s="87" t="str">
        <f>T34&amp;""</f>
        <v/>
      </c>
      <c r="CO33" s="87" t="str">
        <f>BA33&amp;""</f>
        <v/>
      </c>
      <c r="CP33" s="87" t="str">
        <f>R33&amp;""</f>
        <v>（今回登録）</v>
      </c>
    </row>
    <row r="34" spans="2:94" ht="21" customHeight="1" thickBot="1" x14ac:dyDescent="0.2">
      <c r="B34" s="714"/>
      <c r="C34" s="715"/>
      <c r="D34" s="715"/>
      <c r="E34" s="715"/>
      <c r="F34" s="733"/>
      <c r="G34" s="734"/>
      <c r="H34" s="734"/>
      <c r="I34" s="734"/>
      <c r="J34" s="734"/>
      <c r="K34" s="734"/>
      <c r="L34" s="734"/>
      <c r="M34" s="735"/>
      <c r="N34" s="731"/>
      <c r="O34" s="732"/>
      <c r="P34" s="732"/>
      <c r="Q34" s="732"/>
      <c r="R34" s="597"/>
      <c r="S34" s="598"/>
      <c r="T34" s="589" t="str">
        <f>IF(ISBLANK(T33),"",DATEDIF(T33,MY_NAME_DEF!$D$21,"Y"))</f>
        <v/>
      </c>
      <c r="U34" s="590"/>
      <c r="V34" s="590"/>
      <c r="W34" s="590"/>
      <c r="X34" s="591"/>
      <c r="Y34" s="586"/>
      <c r="Z34" s="587"/>
      <c r="AA34" s="587"/>
      <c r="AB34" s="587"/>
      <c r="AC34" s="587"/>
      <c r="AD34" s="587"/>
      <c r="AE34" s="587"/>
      <c r="AF34" s="587"/>
      <c r="AG34" s="587"/>
      <c r="AH34" s="588"/>
      <c r="AI34" s="302" t="s">
        <v>397</v>
      </c>
      <c r="AJ34" s="599"/>
      <c r="AK34" s="599"/>
      <c r="AL34" s="599"/>
      <c r="AM34" s="599"/>
      <c r="AN34" s="599"/>
      <c r="AO34" s="599"/>
      <c r="AP34" s="600"/>
      <c r="AQ34" s="537"/>
      <c r="AR34" s="538"/>
      <c r="AS34" s="538"/>
      <c r="AT34" s="538"/>
      <c r="AU34" s="538"/>
      <c r="AV34" s="538"/>
      <c r="AW34" s="538"/>
      <c r="AX34" s="538"/>
      <c r="AY34" s="538"/>
      <c r="AZ34" s="539"/>
      <c r="BA34" s="568"/>
      <c r="BB34" s="569"/>
      <c r="BC34" s="569"/>
      <c r="BD34" s="570"/>
      <c r="CA34" s="101"/>
      <c r="CB34" s="97"/>
      <c r="CC34" s="98"/>
      <c r="CD34" s="98"/>
      <c r="CE34" s="98"/>
      <c r="CF34" s="98"/>
      <c r="CG34" s="98"/>
      <c r="CH34" s="98"/>
      <c r="CI34" s="99"/>
      <c r="CJ34" s="98"/>
      <c r="CK34" s="98"/>
      <c r="CL34" s="98"/>
      <c r="CM34" s="98"/>
      <c r="CN34" s="98"/>
      <c r="CO34" s="98"/>
      <c r="CP34" s="98"/>
    </row>
    <row r="35" spans="2:94" ht="21" customHeight="1" thickTop="1" x14ac:dyDescent="0.15">
      <c r="B35" s="712">
        <v>8</v>
      </c>
      <c r="C35" s="713"/>
      <c r="D35" s="713"/>
      <c r="E35" s="713"/>
      <c r="F35" s="726"/>
      <c r="G35" s="727"/>
      <c r="H35" s="727"/>
      <c r="I35" s="727"/>
      <c r="J35" s="727"/>
      <c r="K35" s="727"/>
      <c r="L35" s="727"/>
      <c r="M35" s="728"/>
      <c r="N35" s="739"/>
      <c r="O35" s="740"/>
      <c r="P35" s="740"/>
      <c r="Q35" s="740"/>
      <c r="R35" s="595" t="s">
        <v>483</v>
      </c>
      <c r="S35" s="596"/>
      <c r="T35" s="592"/>
      <c r="U35" s="593"/>
      <c r="V35" s="593"/>
      <c r="W35" s="593"/>
      <c r="X35" s="594"/>
      <c r="Y35" s="540"/>
      <c r="Z35" s="541"/>
      <c r="AA35" s="541"/>
      <c r="AB35" s="541"/>
      <c r="AC35" s="541"/>
      <c r="AD35" s="541"/>
      <c r="AE35" s="541"/>
      <c r="AF35" s="541"/>
      <c r="AG35" s="541"/>
      <c r="AH35" s="541"/>
      <c r="AI35" s="541"/>
      <c r="AJ35" s="541"/>
      <c r="AK35" s="541"/>
      <c r="AL35" s="541"/>
      <c r="AM35" s="541"/>
      <c r="AN35" s="541"/>
      <c r="AO35" s="541"/>
      <c r="AP35" s="541"/>
      <c r="AQ35" s="541"/>
      <c r="AR35" s="541"/>
      <c r="AS35" s="541"/>
      <c r="AT35" s="541"/>
      <c r="AU35" s="541"/>
      <c r="AV35" s="541"/>
      <c r="AW35" s="541"/>
      <c r="AX35" s="541"/>
      <c r="AY35" s="541"/>
      <c r="AZ35" s="542"/>
      <c r="BA35" s="565" t="str">
        <f>IF(N35="","",IF(CA35,0,VLOOKUP(N35,MY_MATRIX!$A$2:$C$4,3,0)))</f>
        <v/>
      </c>
      <c r="BB35" s="566"/>
      <c r="BC35" s="566"/>
      <c r="BD35" s="567"/>
      <c r="CA35" s="101" t="b">
        <f>IF(R35="",FALSE,IF(R35="（今回登録）",FALSE,TRUE))</f>
        <v>0</v>
      </c>
      <c r="CB35" s="94">
        <f>B35</f>
        <v>8</v>
      </c>
      <c r="CC35" s="87" t="str">
        <f>F36&amp;""</f>
        <v/>
      </c>
      <c r="CD35" s="87" t="str">
        <f>J36&amp;""</f>
        <v/>
      </c>
      <c r="CE35" s="87" t="str">
        <f>F35&amp;""</f>
        <v/>
      </c>
      <c r="CF35" s="87" t="str">
        <f>J35&amp;""</f>
        <v/>
      </c>
      <c r="CG35" s="87" t="str">
        <f>N35&amp;""</f>
        <v/>
      </c>
      <c r="CH35" s="87" t="str">
        <f>IF(AND(CC35&lt;&gt;"",CD35&lt;&gt;"",CE35&lt;&gt;"",CF35&lt;&gt;"",CG35&lt;&gt;""),CG35,"")</f>
        <v/>
      </c>
      <c r="CI35" s="96" t="str">
        <f>IF(T35="","",T35)</f>
        <v/>
      </c>
      <c r="CJ35" s="87" t="str">
        <f>T36&amp;""</f>
        <v/>
      </c>
      <c r="CO35" s="87" t="str">
        <f t="shared" si="0"/>
        <v/>
      </c>
      <c r="CP35" s="87" t="str">
        <f>R35&amp;""</f>
        <v>（今回登録）</v>
      </c>
    </row>
    <row r="36" spans="2:94" ht="21" customHeight="1" thickBot="1" x14ac:dyDescent="0.2">
      <c r="B36" s="714"/>
      <c r="C36" s="715"/>
      <c r="D36" s="715"/>
      <c r="E36" s="715"/>
      <c r="F36" s="733"/>
      <c r="G36" s="734"/>
      <c r="H36" s="734"/>
      <c r="I36" s="734"/>
      <c r="J36" s="734"/>
      <c r="K36" s="734"/>
      <c r="L36" s="734"/>
      <c r="M36" s="735"/>
      <c r="N36" s="731"/>
      <c r="O36" s="732"/>
      <c r="P36" s="732"/>
      <c r="Q36" s="732"/>
      <c r="R36" s="597"/>
      <c r="S36" s="598"/>
      <c r="T36" s="589" t="str">
        <f>IF(ISBLANK(T35),"",DATEDIF(T35,MY_NAME_DEF!$D$21,"Y"))</f>
        <v/>
      </c>
      <c r="U36" s="590"/>
      <c r="V36" s="590"/>
      <c r="W36" s="590"/>
      <c r="X36" s="591"/>
      <c r="Y36" s="586"/>
      <c r="Z36" s="587"/>
      <c r="AA36" s="587"/>
      <c r="AB36" s="587"/>
      <c r="AC36" s="587"/>
      <c r="AD36" s="587"/>
      <c r="AE36" s="587"/>
      <c r="AF36" s="587"/>
      <c r="AG36" s="587"/>
      <c r="AH36" s="588"/>
      <c r="AI36" s="302" t="s">
        <v>397</v>
      </c>
      <c r="AJ36" s="599"/>
      <c r="AK36" s="599"/>
      <c r="AL36" s="599"/>
      <c r="AM36" s="599"/>
      <c r="AN36" s="599"/>
      <c r="AO36" s="599"/>
      <c r="AP36" s="600"/>
      <c r="AQ36" s="537"/>
      <c r="AR36" s="538"/>
      <c r="AS36" s="538"/>
      <c r="AT36" s="538"/>
      <c r="AU36" s="538"/>
      <c r="AV36" s="538"/>
      <c r="AW36" s="538"/>
      <c r="AX36" s="538"/>
      <c r="AY36" s="538"/>
      <c r="AZ36" s="539"/>
      <c r="BA36" s="568"/>
      <c r="BB36" s="569"/>
      <c r="BC36" s="569"/>
      <c r="BD36" s="570"/>
      <c r="CA36" s="101"/>
      <c r="CB36" s="97"/>
      <c r="CC36" s="98"/>
      <c r="CD36" s="98"/>
      <c r="CE36" s="98"/>
      <c r="CF36" s="98"/>
      <c r="CG36" s="98"/>
      <c r="CH36" s="98"/>
      <c r="CI36" s="99"/>
      <c r="CJ36" s="98"/>
      <c r="CK36" s="98"/>
      <c r="CL36" s="98"/>
      <c r="CM36" s="98"/>
      <c r="CN36" s="98"/>
      <c r="CO36" s="98"/>
      <c r="CP36" s="98"/>
    </row>
    <row r="37" spans="2:94" ht="21" customHeight="1" thickTop="1" x14ac:dyDescent="0.15">
      <c r="B37" s="712">
        <v>9</v>
      </c>
      <c r="C37" s="713"/>
      <c r="D37" s="713"/>
      <c r="E37" s="713"/>
      <c r="F37" s="726"/>
      <c r="G37" s="727"/>
      <c r="H37" s="727"/>
      <c r="I37" s="727"/>
      <c r="J37" s="727"/>
      <c r="K37" s="727"/>
      <c r="L37" s="727"/>
      <c r="M37" s="728"/>
      <c r="N37" s="739"/>
      <c r="O37" s="740"/>
      <c r="P37" s="740"/>
      <c r="Q37" s="740"/>
      <c r="R37" s="595" t="s">
        <v>483</v>
      </c>
      <c r="S37" s="596"/>
      <c r="T37" s="592"/>
      <c r="U37" s="593"/>
      <c r="V37" s="593"/>
      <c r="W37" s="593"/>
      <c r="X37" s="594"/>
      <c r="Y37" s="540"/>
      <c r="Z37" s="541"/>
      <c r="AA37" s="541"/>
      <c r="AB37" s="541"/>
      <c r="AC37" s="541"/>
      <c r="AD37" s="541"/>
      <c r="AE37" s="541"/>
      <c r="AF37" s="541"/>
      <c r="AG37" s="541"/>
      <c r="AH37" s="541"/>
      <c r="AI37" s="541"/>
      <c r="AJ37" s="541"/>
      <c r="AK37" s="541"/>
      <c r="AL37" s="541"/>
      <c r="AM37" s="541"/>
      <c r="AN37" s="541"/>
      <c r="AO37" s="541"/>
      <c r="AP37" s="541"/>
      <c r="AQ37" s="541"/>
      <c r="AR37" s="541"/>
      <c r="AS37" s="541"/>
      <c r="AT37" s="541"/>
      <c r="AU37" s="541"/>
      <c r="AV37" s="541"/>
      <c r="AW37" s="541"/>
      <c r="AX37" s="541"/>
      <c r="AY37" s="541"/>
      <c r="AZ37" s="542"/>
      <c r="BA37" s="565" t="str">
        <f>IF(N37="","",IF(CA37,0,VLOOKUP(N37,MY_MATRIX!$A$2:$C$4,3,0)))</f>
        <v/>
      </c>
      <c r="BB37" s="566"/>
      <c r="BC37" s="566"/>
      <c r="BD37" s="567"/>
      <c r="CA37" s="101" t="b">
        <f>IF(R37="",FALSE,IF(R37="（今回登録）",FALSE,TRUE))</f>
        <v>0</v>
      </c>
      <c r="CB37" s="94">
        <f>B37</f>
        <v>9</v>
      </c>
      <c r="CC37" s="87" t="str">
        <f>F38&amp;""</f>
        <v/>
      </c>
      <c r="CD37" s="87" t="str">
        <f>J38&amp;""</f>
        <v/>
      </c>
      <c r="CE37" s="87" t="str">
        <f>F37&amp;""</f>
        <v/>
      </c>
      <c r="CF37" s="87" t="str">
        <f>J37&amp;""</f>
        <v/>
      </c>
      <c r="CG37" s="87" t="str">
        <f>N37&amp;""</f>
        <v/>
      </c>
      <c r="CH37" s="87" t="str">
        <f>IF(AND(CC37&lt;&gt;"",CD37&lt;&gt;"",CE37&lt;&gt;"",CF37&lt;&gt;"",CG37&lt;&gt;""),CG37,"")</f>
        <v/>
      </c>
      <c r="CI37" s="96" t="str">
        <f>IF(T37="","",T37)</f>
        <v/>
      </c>
      <c r="CJ37" s="87" t="str">
        <f>T38&amp;""</f>
        <v/>
      </c>
      <c r="CO37" s="87" t="str">
        <f t="shared" si="0"/>
        <v/>
      </c>
      <c r="CP37" s="87" t="str">
        <f>R37&amp;""</f>
        <v>（今回登録）</v>
      </c>
    </row>
    <row r="38" spans="2:94" ht="21" customHeight="1" thickBot="1" x14ac:dyDescent="0.2">
      <c r="B38" s="714"/>
      <c r="C38" s="715"/>
      <c r="D38" s="715"/>
      <c r="E38" s="715"/>
      <c r="F38" s="733"/>
      <c r="G38" s="734"/>
      <c r="H38" s="734"/>
      <c r="I38" s="734"/>
      <c r="J38" s="734"/>
      <c r="K38" s="734"/>
      <c r="L38" s="734"/>
      <c r="M38" s="735"/>
      <c r="N38" s="731"/>
      <c r="O38" s="732"/>
      <c r="P38" s="732"/>
      <c r="Q38" s="732"/>
      <c r="R38" s="597"/>
      <c r="S38" s="598"/>
      <c r="T38" s="589" t="str">
        <f>IF(ISBLANK(T37),"",DATEDIF(T37,MY_NAME_DEF!$D$21,"Y"))</f>
        <v/>
      </c>
      <c r="U38" s="590"/>
      <c r="V38" s="590"/>
      <c r="W38" s="590"/>
      <c r="X38" s="591"/>
      <c r="Y38" s="586"/>
      <c r="Z38" s="587"/>
      <c r="AA38" s="587"/>
      <c r="AB38" s="587"/>
      <c r="AC38" s="587"/>
      <c r="AD38" s="587"/>
      <c r="AE38" s="587"/>
      <c r="AF38" s="587"/>
      <c r="AG38" s="587"/>
      <c r="AH38" s="588"/>
      <c r="AI38" s="302" t="s">
        <v>397</v>
      </c>
      <c r="AJ38" s="599"/>
      <c r="AK38" s="599"/>
      <c r="AL38" s="599"/>
      <c r="AM38" s="599"/>
      <c r="AN38" s="599"/>
      <c r="AO38" s="599"/>
      <c r="AP38" s="600"/>
      <c r="AQ38" s="537"/>
      <c r="AR38" s="538"/>
      <c r="AS38" s="538"/>
      <c r="AT38" s="538"/>
      <c r="AU38" s="538"/>
      <c r="AV38" s="538"/>
      <c r="AW38" s="538"/>
      <c r="AX38" s="538"/>
      <c r="AY38" s="538"/>
      <c r="AZ38" s="539"/>
      <c r="BA38" s="568"/>
      <c r="BB38" s="569"/>
      <c r="BC38" s="569"/>
      <c r="BD38" s="570"/>
      <c r="CA38" s="101"/>
      <c r="CB38" s="97"/>
      <c r="CC38" s="98"/>
      <c r="CD38" s="98"/>
      <c r="CE38" s="98"/>
      <c r="CF38" s="98"/>
      <c r="CG38" s="98"/>
      <c r="CH38" s="98"/>
      <c r="CI38" s="99"/>
      <c r="CJ38" s="98"/>
      <c r="CK38" s="98"/>
      <c r="CL38" s="98"/>
      <c r="CM38" s="98"/>
      <c r="CN38" s="98"/>
      <c r="CO38" s="98"/>
      <c r="CP38" s="98"/>
    </row>
    <row r="39" spans="2:94" ht="21" customHeight="1" thickTop="1" x14ac:dyDescent="0.15">
      <c r="B39" s="712">
        <v>10</v>
      </c>
      <c r="C39" s="713"/>
      <c r="D39" s="713"/>
      <c r="E39" s="713"/>
      <c r="F39" s="726"/>
      <c r="G39" s="727"/>
      <c r="H39" s="727"/>
      <c r="I39" s="727"/>
      <c r="J39" s="727"/>
      <c r="K39" s="727"/>
      <c r="L39" s="727"/>
      <c r="M39" s="728"/>
      <c r="N39" s="739"/>
      <c r="O39" s="740"/>
      <c r="P39" s="740"/>
      <c r="Q39" s="740"/>
      <c r="R39" s="595" t="s">
        <v>483</v>
      </c>
      <c r="S39" s="596"/>
      <c r="T39" s="592"/>
      <c r="U39" s="593"/>
      <c r="V39" s="593"/>
      <c r="W39" s="593"/>
      <c r="X39" s="594"/>
      <c r="Y39" s="540"/>
      <c r="Z39" s="541"/>
      <c r="AA39" s="541"/>
      <c r="AB39" s="541"/>
      <c r="AC39" s="541"/>
      <c r="AD39" s="541"/>
      <c r="AE39" s="541"/>
      <c r="AF39" s="541"/>
      <c r="AG39" s="541"/>
      <c r="AH39" s="541"/>
      <c r="AI39" s="541"/>
      <c r="AJ39" s="541"/>
      <c r="AK39" s="541"/>
      <c r="AL39" s="541"/>
      <c r="AM39" s="541"/>
      <c r="AN39" s="541"/>
      <c r="AO39" s="541"/>
      <c r="AP39" s="541"/>
      <c r="AQ39" s="541"/>
      <c r="AR39" s="541"/>
      <c r="AS39" s="541"/>
      <c r="AT39" s="541"/>
      <c r="AU39" s="541"/>
      <c r="AV39" s="541"/>
      <c r="AW39" s="541"/>
      <c r="AX39" s="541"/>
      <c r="AY39" s="541"/>
      <c r="AZ39" s="542"/>
      <c r="BA39" s="565" t="str">
        <f>IF(N39="","",IF(CA39,0,VLOOKUP(N39,MY_MATRIX!$A$2:$C$4,3,0)))</f>
        <v/>
      </c>
      <c r="BB39" s="566"/>
      <c r="BC39" s="566"/>
      <c r="BD39" s="567"/>
      <c r="CA39" s="101" t="b">
        <f>IF(R39="",FALSE,IF(R39="（今回登録）",FALSE,TRUE))</f>
        <v>0</v>
      </c>
      <c r="CB39" s="94">
        <f>B39</f>
        <v>10</v>
      </c>
      <c r="CC39" s="87" t="str">
        <f>F40&amp;""</f>
        <v/>
      </c>
      <c r="CD39" s="87" t="str">
        <f>J40&amp;""</f>
        <v/>
      </c>
      <c r="CE39" s="87" t="str">
        <f>F39&amp;""</f>
        <v/>
      </c>
      <c r="CF39" s="87" t="str">
        <f>J39&amp;""</f>
        <v/>
      </c>
      <c r="CG39" s="87" t="str">
        <f>N39&amp;""</f>
        <v/>
      </c>
      <c r="CH39" s="87" t="str">
        <f>IF(AND(CC39&lt;&gt;"",CD39&lt;&gt;"",CE39&lt;&gt;"",CF39&lt;&gt;"",CG39&lt;&gt;""),CG39,"")</f>
        <v/>
      </c>
      <c r="CI39" s="96" t="str">
        <f>IF(T39="","",T39)</f>
        <v/>
      </c>
      <c r="CJ39" s="87" t="str">
        <f>T40&amp;""</f>
        <v/>
      </c>
      <c r="CO39" s="87" t="str">
        <f t="shared" si="0"/>
        <v/>
      </c>
      <c r="CP39" s="87" t="str">
        <f>R39&amp;""</f>
        <v>（今回登録）</v>
      </c>
    </row>
    <row r="40" spans="2:94" ht="21" customHeight="1" thickBot="1" x14ac:dyDescent="0.2">
      <c r="B40" s="714"/>
      <c r="C40" s="715"/>
      <c r="D40" s="715"/>
      <c r="E40" s="715"/>
      <c r="F40" s="733"/>
      <c r="G40" s="734"/>
      <c r="H40" s="734"/>
      <c r="I40" s="734"/>
      <c r="J40" s="734"/>
      <c r="K40" s="734"/>
      <c r="L40" s="734"/>
      <c r="M40" s="735"/>
      <c r="N40" s="731"/>
      <c r="O40" s="732"/>
      <c r="P40" s="732"/>
      <c r="Q40" s="732"/>
      <c r="R40" s="597"/>
      <c r="S40" s="598"/>
      <c r="T40" s="589" t="str">
        <f>IF(ISBLANK(T39),"",DATEDIF(T39,MY_NAME_DEF!$D$21,"Y"))</f>
        <v/>
      </c>
      <c r="U40" s="590"/>
      <c r="V40" s="590"/>
      <c r="W40" s="590"/>
      <c r="X40" s="591"/>
      <c r="Y40" s="586"/>
      <c r="Z40" s="587"/>
      <c r="AA40" s="587"/>
      <c r="AB40" s="587"/>
      <c r="AC40" s="587"/>
      <c r="AD40" s="587"/>
      <c r="AE40" s="587"/>
      <c r="AF40" s="587"/>
      <c r="AG40" s="587"/>
      <c r="AH40" s="588"/>
      <c r="AI40" s="302" t="s">
        <v>397</v>
      </c>
      <c r="AJ40" s="599"/>
      <c r="AK40" s="599"/>
      <c r="AL40" s="599"/>
      <c r="AM40" s="599"/>
      <c r="AN40" s="599"/>
      <c r="AO40" s="599"/>
      <c r="AP40" s="600"/>
      <c r="AQ40" s="537"/>
      <c r="AR40" s="538"/>
      <c r="AS40" s="538"/>
      <c r="AT40" s="538"/>
      <c r="AU40" s="538"/>
      <c r="AV40" s="538"/>
      <c r="AW40" s="538"/>
      <c r="AX40" s="538"/>
      <c r="AY40" s="538"/>
      <c r="AZ40" s="539"/>
      <c r="BA40" s="568"/>
      <c r="BB40" s="569"/>
      <c r="BC40" s="569"/>
      <c r="BD40" s="570"/>
      <c r="CA40" s="101"/>
      <c r="CB40" s="97"/>
      <c r="CC40" s="98"/>
      <c r="CD40" s="98"/>
      <c r="CE40" s="98"/>
      <c r="CF40" s="98"/>
      <c r="CG40" s="98"/>
      <c r="CH40" s="98"/>
      <c r="CI40" s="99"/>
      <c r="CJ40" s="98"/>
      <c r="CK40" s="98"/>
      <c r="CL40" s="98"/>
      <c r="CM40" s="98"/>
      <c r="CN40" s="98"/>
      <c r="CO40" s="98"/>
      <c r="CP40" s="98"/>
    </row>
    <row r="41" spans="2:94" ht="21" customHeight="1" thickTop="1" x14ac:dyDescent="0.15">
      <c r="B41" s="712">
        <v>11</v>
      </c>
      <c r="C41" s="713"/>
      <c r="D41" s="713"/>
      <c r="E41" s="713"/>
      <c r="F41" s="726"/>
      <c r="G41" s="727"/>
      <c r="H41" s="727"/>
      <c r="I41" s="727"/>
      <c r="J41" s="727"/>
      <c r="K41" s="727"/>
      <c r="L41" s="727"/>
      <c r="M41" s="728"/>
      <c r="N41" s="739"/>
      <c r="O41" s="740"/>
      <c r="P41" s="740"/>
      <c r="Q41" s="740"/>
      <c r="R41" s="595" t="s">
        <v>483</v>
      </c>
      <c r="S41" s="596"/>
      <c r="T41" s="592"/>
      <c r="U41" s="593"/>
      <c r="V41" s="593"/>
      <c r="W41" s="593"/>
      <c r="X41" s="594"/>
      <c r="Y41" s="540"/>
      <c r="Z41" s="541"/>
      <c r="AA41" s="541"/>
      <c r="AB41" s="541"/>
      <c r="AC41" s="541"/>
      <c r="AD41" s="541"/>
      <c r="AE41" s="541"/>
      <c r="AF41" s="541"/>
      <c r="AG41" s="541"/>
      <c r="AH41" s="541"/>
      <c r="AI41" s="541"/>
      <c r="AJ41" s="541"/>
      <c r="AK41" s="541"/>
      <c r="AL41" s="541"/>
      <c r="AM41" s="541"/>
      <c r="AN41" s="541"/>
      <c r="AO41" s="541"/>
      <c r="AP41" s="541"/>
      <c r="AQ41" s="541"/>
      <c r="AR41" s="541"/>
      <c r="AS41" s="541"/>
      <c r="AT41" s="541"/>
      <c r="AU41" s="541"/>
      <c r="AV41" s="541"/>
      <c r="AW41" s="541"/>
      <c r="AX41" s="541"/>
      <c r="AY41" s="541"/>
      <c r="AZ41" s="542"/>
      <c r="BA41" s="565" t="str">
        <f>IF(N41="","",IF(CA41,0,VLOOKUP(N41,MY_MATRIX!$A$2:$C$4,3,0)))</f>
        <v/>
      </c>
      <c r="BB41" s="566"/>
      <c r="BC41" s="566"/>
      <c r="BD41" s="567"/>
      <c r="CA41" s="101" t="b">
        <f>IF(R41="",FALSE,IF(R41="（今回登録）",FALSE,TRUE))</f>
        <v>0</v>
      </c>
      <c r="CB41" s="94">
        <f>B41</f>
        <v>11</v>
      </c>
      <c r="CC41" s="87" t="str">
        <f>F42&amp;""</f>
        <v/>
      </c>
      <c r="CD41" s="87" t="str">
        <f>J42&amp;""</f>
        <v/>
      </c>
      <c r="CE41" s="87" t="str">
        <f>F41&amp;""</f>
        <v/>
      </c>
      <c r="CF41" s="87" t="str">
        <f>J41&amp;""</f>
        <v/>
      </c>
      <c r="CG41" s="87" t="str">
        <f>N41&amp;""</f>
        <v/>
      </c>
      <c r="CH41" s="87" t="str">
        <f>IF(AND(CC41&lt;&gt;"",CD41&lt;&gt;"",CE41&lt;&gt;"",CF41&lt;&gt;"",CG41&lt;&gt;""),CG41,"")</f>
        <v/>
      </c>
      <c r="CI41" s="96" t="str">
        <f>IF(T41="","",T41)</f>
        <v/>
      </c>
      <c r="CJ41" s="87" t="str">
        <f>T42&amp;""</f>
        <v/>
      </c>
      <c r="CO41" s="87" t="str">
        <f t="shared" si="0"/>
        <v/>
      </c>
      <c r="CP41" s="87" t="str">
        <f>R41&amp;""</f>
        <v>（今回登録）</v>
      </c>
    </row>
    <row r="42" spans="2:94" ht="21" customHeight="1" thickBot="1" x14ac:dyDescent="0.2">
      <c r="B42" s="714"/>
      <c r="C42" s="715"/>
      <c r="D42" s="715"/>
      <c r="E42" s="715"/>
      <c r="F42" s="733"/>
      <c r="G42" s="734"/>
      <c r="H42" s="734"/>
      <c r="I42" s="734"/>
      <c r="J42" s="734"/>
      <c r="K42" s="734"/>
      <c r="L42" s="734"/>
      <c r="M42" s="735"/>
      <c r="N42" s="731"/>
      <c r="O42" s="732"/>
      <c r="P42" s="732"/>
      <c r="Q42" s="732"/>
      <c r="R42" s="597"/>
      <c r="S42" s="598"/>
      <c r="T42" s="589" t="str">
        <f>IF(ISBLANK(T41),"",DATEDIF(T41,MY_NAME_DEF!$D$21,"Y"))</f>
        <v/>
      </c>
      <c r="U42" s="590"/>
      <c r="V42" s="590"/>
      <c r="W42" s="590"/>
      <c r="X42" s="591"/>
      <c r="Y42" s="586"/>
      <c r="Z42" s="587"/>
      <c r="AA42" s="587"/>
      <c r="AB42" s="587"/>
      <c r="AC42" s="587"/>
      <c r="AD42" s="587"/>
      <c r="AE42" s="587"/>
      <c r="AF42" s="587"/>
      <c r="AG42" s="587"/>
      <c r="AH42" s="588"/>
      <c r="AI42" s="302" t="s">
        <v>397</v>
      </c>
      <c r="AJ42" s="599"/>
      <c r="AK42" s="599"/>
      <c r="AL42" s="599"/>
      <c r="AM42" s="599"/>
      <c r="AN42" s="599"/>
      <c r="AO42" s="599"/>
      <c r="AP42" s="600"/>
      <c r="AQ42" s="537"/>
      <c r="AR42" s="538"/>
      <c r="AS42" s="538"/>
      <c r="AT42" s="538"/>
      <c r="AU42" s="538"/>
      <c r="AV42" s="538"/>
      <c r="AW42" s="538"/>
      <c r="AX42" s="538"/>
      <c r="AY42" s="538"/>
      <c r="AZ42" s="539"/>
      <c r="BA42" s="568"/>
      <c r="BB42" s="569"/>
      <c r="BC42" s="569"/>
      <c r="BD42" s="570"/>
      <c r="CA42" s="101"/>
      <c r="CB42" s="97"/>
      <c r="CC42" s="98"/>
      <c r="CD42" s="98"/>
      <c r="CE42" s="98"/>
      <c r="CF42" s="98"/>
      <c r="CG42" s="98"/>
      <c r="CH42" s="98"/>
      <c r="CI42" s="99"/>
      <c r="CJ42" s="98"/>
      <c r="CK42" s="98"/>
      <c r="CL42" s="98"/>
      <c r="CM42" s="98"/>
      <c r="CN42" s="98"/>
      <c r="CO42" s="98"/>
      <c r="CP42" s="98"/>
    </row>
    <row r="43" spans="2:94" ht="21" customHeight="1" thickTop="1" x14ac:dyDescent="0.15">
      <c r="B43" s="712">
        <v>12</v>
      </c>
      <c r="C43" s="713"/>
      <c r="D43" s="713"/>
      <c r="E43" s="713"/>
      <c r="F43" s="726"/>
      <c r="G43" s="727"/>
      <c r="H43" s="727"/>
      <c r="I43" s="727"/>
      <c r="J43" s="727"/>
      <c r="K43" s="727"/>
      <c r="L43" s="727"/>
      <c r="M43" s="728"/>
      <c r="N43" s="739"/>
      <c r="O43" s="740"/>
      <c r="P43" s="740"/>
      <c r="Q43" s="740"/>
      <c r="R43" s="595" t="s">
        <v>483</v>
      </c>
      <c r="S43" s="596"/>
      <c r="T43" s="592"/>
      <c r="U43" s="593"/>
      <c r="V43" s="593"/>
      <c r="W43" s="593"/>
      <c r="X43" s="594"/>
      <c r="Y43" s="540"/>
      <c r="Z43" s="541"/>
      <c r="AA43" s="541"/>
      <c r="AB43" s="541"/>
      <c r="AC43" s="541"/>
      <c r="AD43" s="541"/>
      <c r="AE43" s="541"/>
      <c r="AF43" s="541"/>
      <c r="AG43" s="541"/>
      <c r="AH43" s="541"/>
      <c r="AI43" s="541"/>
      <c r="AJ43" s="541"/>
      <c r="AK43" s="541"/>
      <c r="AL43" s="541"/>
      <c r="AM43" s="541"/>
      <c r="AN43" s="541"/>
      <c r="AO43" s="541"/>
      <c r="AP43" s="541"/>
      <c r="AQ43" s="541"/>
      <c r="AR43" s="541"/>
      <c r="AS43" s="541"/>
      <c r="AT43" s="541"/>
      <c r="AU43" s="541"/>
      <c r="AV43" s="541"/>
      <c r="AW43" s="541"/>
      <c r="AX43" s="541"/>
      <c r="AY43" s="541"/>
      <c r="AZ43" s="542"/>
      <c r="BA43" s="565" t="str">
        <f>IF(N43="","",IF(CA43,0,VLOOKUP(N43,MY_MATRIX!$A$2:$C$4,3,0)))</f>
        <v/>
      </c>
      <c r="BB43" s="566"/>
      <c r="BC43" s="566"/>
      <c r="BD43" s="567"/>
      <c r="CA43" s="101" t="b">
        <f>IF(R43="",FALSE,IF(R43="（今回登録）",FALSE,TRUE))</f>
        <v>0</v>
      </c>
      <c r="CB43" s="94">
        <f>B43</f>
        <v>12</v>
      </c>
      <c r="CC43" s="87" t="str">
        <f>F44&amp;""</f>
        <v/>
      </c>
      <c r="CD43" s="87" t="str">
        <f>J44&amp;""</f>
        <v/>
      </c>
      <c r="CE43" s="87" t="str">
        <f>F43&amp;""</f>
        <v/>
      </c>
      <c r="CF43" s="87" t="str">
        <f>J43&amp;""</f>
        <v/>
      </c>
      <c r="CG43" s="87" t="str">
        <f>N43&amp;""</f>
        <v/>
      </c>
      <c r="CH43" s="87" t="str">
        <f>IF(AND(CC43&lt;&gt;"",CD43&lt;&gt;"",CE43&lt;&gt;"",CF43&lt;&gt;"",CG43&lt;&gt;""),CG43,"")</f>
        <v/>
      </c>
      <c r="CI43" s="96" t="str">
        <f>IF(T43="","",T43)</f>
        <v/>
      </c>
      <c r="CJ43" s="87" t="str">
        <f>T44&amp;""</f>
        <v/>
      </c>
      <c r="CO43" s="87" t="str">
        <f t="shared" si="0"/>
        <v/>
      </c>
      <c r="CP43" s="87" t="str">
        <f>R43&amp;""</f>
        <v>（今回登録）</v>
      </c>
    </row>
    <row r="44" spans="2:94" ht="21" customHeight="1" thickBot="1" x14ac:dyDescent="0.2">
      <c r="B44" s="714"/>
      <c r="C44" s="715"/>
      <c r="D44" s="715"/>
      <c r="E44" s="715"/>
      <c r="F44" s="733"/>
      <c r="G44" s="734"/>
      <c r="H44" s="734"/>
      <c r="I44" s="734"/>
      <c r="J44" s="734"/>
      <c r="K44" s="734"/>
      <c r="L44" s="734"/>
      <c r="M44" s="735"/>
      <c r="N44" s="731"/>
      <c r="O44" s="732"/>
      <c r="P44" s="732"/>
      <c r="Q44" s="732"/>
      <c r="R44" s="597"/>
      <c r="S44" s="598"/>
      <c r="T44" s="589" t="str">
        <f>IF(ISBLANK(T43),"",DATEDIF(T43,MY_NAME_DEF!$D$21,"Y"))</f>
        <v/>
      </c>
      <c r="U44" s="590"/>
      <c r="V44" s="590"/>
      <c r="W44" s="590"/>
      <c r="X44" s="591"/>
      <c r="Y44" s="586"/>
      <c r="Z44" s="587"/>
      <c r="AA44" s="587"/>
      <c r="AB44" s="587"/>
      <c r="AC44" s="587"/>
      <c r="AD44" s="587"/>
      <c r="AE44" s="587"/>
      <c r="AF44" s="587"/>
      <c r="AG44" s="587"/>
      <c r="AH44" s="588"/>
      <c r="AI44" s="302" t="s">
        <v>397</v>
      </c>
      <c r="AJ44" s="599"/>
      <c r="AK44" s="599"/>
      <c r="AL44" s="599"/>
      <c r="AM44" s="599"/>
      <c r="AN44" s="599"/>
      <c r="AO44" s="599"/>
      <c r="AP44" s="600"/>
      <c r="AQ44" s="537"/>
      <c r="AR44" s="538"/>
      <c r="AS44" s="538"/>
      <c r="AT44" s="538"/>
      <c r="AU44" s="538"/>
      <c r="AV44" s="538"/>
      <c r="AW44" s="538"/>
      <c r="AX44" s="538"/>
      <c r="AY44" s="538"/>
      <c r="AZ44" s="539"/>
      <c r="BA44" s="568"/>
      <c r="BB44" s="569"/>
      <c r="BC44" s="569"/>
      <c r="BD44" s="570"/>
      <c r="CA44" s="101"/>
      <c r="CB44" s="97"/>
      <c r="CC44" s="98"/>
      <c r="CD44" s="98"/>
      <c r="CE44" s="98"/>
      <c r="CF44" s="98"/>
      <c r="CG44" s="98"/>
      <c r="CH44" s="98"/>
      <c r="CI44" s="99"/>
      <c r="CJ44" s="98"/>
      <c r="CK44" s="98"/>
      <c r="CL44" s="98"/>
      <c r="CM44" s="98"/>
      <c r="CN44" s="98"/>
      <c r="CO44" s="98"/>
      <c r="CP44" s="98"/>
    </row>
    <row r="45" spans="2:94" ht="21" customHeight="1" thickTop="1" x14ac:dyDescent="0.15">
      <c r="B45" s="712">
        <v>13</v>
      </c>
      <c r="C45" s="713"/>
      <c r="D45" s="713"/>
      <c r="E45" s="713"/>
      <c r="F45" s="726"/>
      <c r="G45" s="727"/>
      <c r="H45" s="727"/>
      <c r="I45" s="727"/>
      <c r="J45" s="727"/>
      <c r="K45" s="727"/>
      <c r="L45" s="727"/>
      <c r="M45" s="728"/>
      <c r="N45" s="739"/>
      <c r="O45" s="740"/>
      <c r="P45" s="740"/>
      <c r="Q45" s="740"/>
      <c r="R45" s="595" t="s">
        <v>483</v>
      </c>
      <c r="S45" s="596"/>
      <c r="T45" s="592"/>
      <c r="U45" s="593"/>
      <c r="V45" s="593"/>
      <c r="W45" s="593"/>
      <c r="X45" s="594"/>
      <c r="Y45" s="540"/>
      <c r="Z45" s="541"/>
      <c r="AA45" s="541"/>
      <c r="AB45" s="541"/>
      <c r="AC45" s="541"/>
      <c r="AD45" s="541"/>
      <c r="AE45" s="541"/>
      <c r="AF45" s="541"/>
      <c r="AG45" s="541"/>
      <c r="AH45" s="541"/>
      <c r="AI45" s="541"/>
      <c r="AJ45" s="541"/>
      <c r="AK45" s="541"/>
      <c r="AL45" s="541"/>
      <c r="AM45" s="541"/>
      <c r="AN45" s="541"/>
      <c r="AO45" s="541"/>
      <c r="AP45" s="541"/>
      <c r="AQ45" s="541"/>
      <c r="AR45" s="541"/>
      <c r="AS45" s="541"/>
      <c r="AT45" s="541"/>
      <c r="AU45" s="541"/>
      <c r="AV45" s="541"/>
      <c r="AW45" s="541"/>
      <c r="AX45" s="541"/>
      <c r="AY45" s="541"/>
      <c r="AZ45" s="542"/>
      <c r="BA45" s="565" t="str">
        <f>IF(N45="","",IF(CA45,0,VLOOKUP(N45,MY_MATRIX!$A$2:$C$4,3,0)))</f>
        <v/>
      </c>
      <c r="BB45" s="566"/>
      <c r="BC45" s="566"/>
      <c r="BD45" s="567"/>
      <c r="CA45" s="101" t="b">
        <f>IF(R45="",FALSE,IF(R45="（今回登録）",FALSE,TRUE))</f>
        <v>0</v>
      </c>
      <c r="CB45" s="94">
        <f>B45</f>
        <v>13</v>
      </c>
      <c r="CC45" s="87" t="str">
        <f>F46&amp;""</f>
        <v/>
      </c>
      <c r="CD45" s="87" t="str">
        <f>J46&amp;""</f>
        <v/>
      </c>
      <c r="CE45" s="87" t="str">
        <f>F45&amp;""</f>
        <v/>
      </c>
      <c r="CF45" s="87" t="str">
        <f>J45&amp;""</f>
        <v/>
      </c>
      <c r="CG45" s="87" t="str">
        <f>N45&amp;""</f>
        <v/>
      </c>
      <c r="CH45" s="87" t="str">
        <f>IF(AND(CC45&lt;&gt;"",CD45&lt;&gt;"",CE45&lt;&gt;"",CF45&lt;&gt;"",CG45&lt;&gt;""),CG45,"")</f>
        <v/>
      </c>
      <c r="CI45" s="96" t="str">
        <f>IF(T45="","",T45)</f>
        <v/>
      </c>
      <c r="CJ45" s="87" t="str">
        <f>T46&amp;""</f>
        <v/>
      </c>
      <c r="CO45" s="87" t="str">
        <f t="shared" si="0"/>
        <v/>
      </c>
      <c r="CP45" s="87" t="str">
        <f>R45&amp;""</f>
        <v>（今回登録）</v>
      </c>
    </row>
    <row r="46" spans="2:94" ht="21" customHeight="1" thickBot="1" x14ac:dyDescent="0.2">
      <c r="B46" s="714"/>
      <c r="C46" s="715"/>
      <c r="D46" s="715"/>
      <c r="E46" s="715"/>
      <c r="F46" s="733"/>
      <c r="G46" s="734"/>
      <c r="H46" s="734"/>
      <c r="I46" s="734"/>
      <c r="J46" s="734"/>
      <c r="K46" s="734"/>
      <c r="L46" s="734"/>
      <c r="M46" s="735"/>
      <c r="N46" s="731"/>
      <c r="O46" s="732"/>
      <c r="P46" s="732"/>
      <c r="Q46" s="732"/>
      <c r="R46" s="597"/>
      <c r="S46" s="598"/>
      <c r="T46" s="589" t="str">
        <f>IF(ISBLANK(T45),"",DATEDIF(T45,MY_NAME_DEF!$D$21,"Y"))</f>
        <v/>
      </c>
      <c r="U46" s="590"/>
      <c r="V46" s="590"/>
      <c r="W46" s="590"/>
      <c r="X46" s="591"/>
      <c r="Y46" s="586"/>
      <c r="Z46" s="587"/>
      <c r="AA46" s="587"/>
      <c r="AB46" s="587"/>
      <c r="AC46" s="587"/>
      <c r="AD46" s="587"/>
      <c r="AE46" s="587"/>
      <c r="AF46" s="587"/>
      <c r="AG46" s="587"/>
      <c r="AH46" s="588"/>
      <c r="AI46" s="302" t="s">
        <v>397</v>
      </c>
      <c r="AJ46" s="599"/>
      <c r="AK46" s="599"/>
      <c r="AL46" s="599"/>
      <c r="AM46" s="599"/>
      <c r="AN46" s="599"/>
      <c r="AO46" s="599"/>
      <c r="AP46" s="600"/>
      <c r="AQ46" s="537"/>
      <c r="AR46" s="538"/>
      <c r="AS46" s="538"/>
      <c r="AT46" s="538"/>
      <c r="AU46" s="538"/>
      <c r="AV46" s="538"/>
      <c r="AW46" s="538"/>
      <c r="AX46" s="538"/>
      <c r="AY46" s="538"/>
      <c r="AZ46" s="539"/>
      <c r="BA46" s="568"/>
      <c r="BB46" s="569"/>
      <c r="BC46" s="569"/>
      <c r="BD46" s="570"/>
      <c r="CA46" s="101"/>
      <c r="CB46" s="97"/>
      <c r="CC46" s="98"/>
      <c r="CD46" s="98"/>
      <c r="CE46" s="98"/>
      <c r="CF46" s="98"/>
      <c r="CG46" s="98"/>
      <c r="CH46" s="98"/>
      <c r="CI46" s="99"/>
      <c r="CJ46" s="98"/>
      <c r="CK46" s="98"/>
      <c r="CL46" s="98"/>
      <c r="CM46" s="98"/>
      <c r="CN46" s="98"/>
      <c r="CO46" s="98"/>
      <c r="CP46" s="98"/>
    </row>
    <row r="47" spans="2:94" ht="21" customHeight="1" thickTop="1" x14ac:dyDescent="0.15">
      <c r="B47" s="712">
        <v>14</v>
      </c>
      <c r="C47" s="713"/>
      <c r="D47" s="713"/>
      <c r="E47" s="713"/>
      <c r="F47" s="726"/>
      <c r="G47" s="727"/>
      <c r="H47" s="727"/>
      <c r="I47" s="727"/>
      <c r="J47" s="727"/>
      <c r="K47" s="727"/>
      <c r="L47" s="727"/>
      <c r="M47" s="728"/>
      <c r="N47" s="739"/>
      <c r="O47" s="740"/>
      <c r="P47" s="740"/>
      <c r="Q47" s="740"/>
      <c r="R47" s="595" t="s">
        <v>483</v>
      </c>
      <c r="S47" s="596"/>
      <c r="T47" s="592"/>
      <c r="U47" s="593"/>
      <c r="V47" s="593"/>
      <c r="W47" s="593"/>
      <c r="X47" s="594"/>
      <c r="Y47" s="540"/>
      <c r="Z47" s="541"/>
      <c r="AA47" s="541"/>
      <c r="AB47" s="541"/>
      <c r="AC47" s="541"/>
      <c r="AD47" s="541"/>
      <c r="AE47" s="541"/>
      <c r="AF47" s="541"/>
      <c r="AG47" s="541"/>
      <c r="AH47" s="541"/>
      <c r="AI47" s="541"/>
      <c r="AJ47" s="541"/>
      <c r="AK47" s="541"/>
      <c r="AL47" s="541"/>
      <c r="AM47" s="541"/>
      <c r="AN47" s="541"/>
      <c r="AO47" s="541"/>
      <c r="AP47" s="541"/>
      <c r="AQ47" s="541"/>
      <c r="AR47" s="541"/>
      <c r="AS47" s="541"/>
      <c r="AT47" s="541"/>
      <c r="AU47" s="541"/>
      <c r="AV47" s="541"/>
      <c r="AW47" s="541"/>
      <c r="AX47" s="541"/>
      <c r="AY47" s="541"/>
      <c r="AZ47" s="542"/>
      <c r="BA47" s="565" t="str">
        <f>IF(N47="","",IF(CA47,0,VLOOKUP(N47,MY_MATRIX!$A$2:$C$4,3,0)))</f>
        <v/>
      </c>
      <c r="BB47" s="566"/>
      <c r="BC47" s="566"/>
      <c r="BD47" s="567"/>
      <c r="CA47" s="101" t="b">
        <f>IF(R47="",FALSE,IF(R47="（今回登録）",FALSE,TRUE))</f>
        <v>0</v>
      </c>
      <c r="CB47" s="94">
        <f>B47</f>
        <v>14</v>
      </c>
      <c r="CC47" s="87" t="str">
        <f>F48&amp;""</f>
        <v/>
      </c>
      <c r="CD47" s="87" t="str">
        <f>J48&amp;""</f>
        <v/>
      </c>
      <c r="CE47" s="87" t="str">
        <f>F47&amp;""</f>
        <v/>
      </c>
      <c r="CF47" s="87" t="str">
        <f>J47&amp;""</f>
        <v/>
      </c>
      <c r="CG47" s="87" t="str">
        <f>N47&amp;""</f>
        <v/>
      </c>
      <c r="CH47" s="87" t="str">
        <f>IF(AND(CC47&lt;&gt;"",CD47&lt;&gt;"",CE47&lt;&gt;"",CF47&lt;&gt;"",CG47&lt;&gt;""),CG47,"")</f>
        <v/>
      </c>
      <c r="CI47" s="96" t="str">
        <f>IF(T47="","",T47)</f>
        <v/>
      </c>
      <c r="CJ47" s="87" t="str">
        <f>T48&amp;""</f>
        <v/>
      </c>
      <c r="CO47" s="87" t="str">
        <f t="shared" si="0"/>
        <v/>
      </c>
      <c r="CP47" s="87" t="str">
        <f>R47&amp;""</f>
        <v>（今回登録）</v>
      </c>
    </row>
    <row r="48" spans="2:94" ht="21" customHeight="1" thickBot="1" x14ac:dyDescent="0.2">
      <c r="B48" s="714"/>
      <c r="C48" s="715"/>
      <c r="D48" s="715"/>
      <c r="E48" s="715"/>
      <c r="F48" s="733"/>
      <c r="G48" s="734"/>
      <c r="H48" s="734"/>
      <c r="I48" s="734"/>
      <c r="J48" s="734"/>
      <c r="K48" s="734"/>
      <c r="L48" s="734"/>
      <c r="M48" s="735"/>
      <c r="N48" s="731"/>
      <c r="O48" s="732"/>
      <c r="P48" s="732"/>
      <c r="Q48" s="732"/>
      <c r="R48" s="597"/>
      <c r="S48" s="598"/>
      <c r="T48" s="589" t="str">
        <f>IF(ISBLANK(T47),"",DATEDIF(T47,MY_NAME_DEF!$D$21,"Y"))</f>
        <v/>
      </c>
      <c r="U48" s="590"/>
      <c r="V48" s="590"/>
      <c r="W48" s="590"/>
      <c r="X48" s="591"/>
      <c r="Y48" s="586"/>
      <c r="Z48" s="587"/>
      <c r="AA48" s="587"/>
      <c r="AB48" s="587"/>
      <c r="AC48" s="587"/>
      <c r="AD48" s="587"/>
      <c r="AE48" s="587"/>
      <c r="AF48" s="587"/>
      <c r="AG48" s="587"/>
      <c r="AH48" s="588"/>
      <c r="AI48" s="302" t="s">
        <v>397</v>
      </c>
      <c r="AJ48" s="599"/>
      <c r="AK48" s="599"/>
      <c r="AL48" s="599"/>
      <c r="AM48" s="599"/>
      <c r="AN48" s="599"/>
      <c r="AO48" s="599"/>
      <c r="AP48" s="600"/>
      <c r="AQ48" s="537"/>
      <c r="AR48" s="538"/>
      <c r="AS48" s="538"/>
      <c r="AT48" s="538"/>
      <c r="AU48" s="538"/>
      <c r="AV48" s="538"/>
      <c r="AW48" s="538"/>
      <c r="AX48" s="538"/>
      <c r="AY48" s="538"/>
      <c r="AZ48" s="539"/>
      <c r="BA48" s="568"/>
      <c r="BB48" s="569"/>
      <c r="BC48" s="569"/>
      <c r="BD48" s="570"/>
      <c r="CA48" s="101"/>
      <c r="CB48" s="97"/>
      <c r="CC48" s="98"/>
      <c r="CD48" s="98"/>
      <c r="CE48" s="98"/>
      <c r="CF48" s="98"/>
      <c r="CG48" s="98"/>
      <c r="CH48" s="98"/>
      <c r="CI48" s="99"/>
      <c r="CJ48" s="98"/>
      <c r="CK48" s="98"/>
      <c r="CL48" s="98"/>
      <c r="CM48" s="98"/>
      <c r="CN48" s="98"/>
      <c r="CO48" s="98"/>
      <c r="CP48" s="98"/>
    </row>
    <row r="49" spans="2:94" ht="21" customHeight="1" thickTop="1" x14ac:dyDescent="0.15">
      <c r="B49" s="712">
        <v>15</v>
      </c>
      <c r="C49" s="713"/>
      <c r="D49" s="713"/>
      <c r="E49" s="713"/>
      <c r="F49" s="726"/>
      <c r="G49" s="727"/>
      <c r="H49" s="727"/>
      <c r="I49" s="727"/>
      <c r="J49" s="727"/>
      <c r="K49" s="727"/>
      <c r="L49" s="727"/>
      <c r="M49" s="728"/>
      <c r="N49" s="739"/>
      <c r="O49" s="740"/>
      <c r="P49" s="740"/>
      <c r="Q49" s="740"/>
      <c r="R49" s="595" t="s">
        <v>483</v>
      </c>
      <c r="S49" s="596"/>
      <c r="T49" s="592"/>
      <c r="U49" s="593"/>
      <c r="V49" s="593"/>
      <c r="W49" s="593"/>
      <c r="X49" s="594"/>
      <c r="Y49" s="540"/>
      <c r="Z49" s="541"/>
      <c r="AA49" s="541"/>
      <c r="AB49" s="541"/>
      <c r="AC49" s="541"/>
      <c r="AD49" s="541"/>
      <c r="AE49" s="541"/>
      <c r="AF49" s="541"/>
      <c r="AG49" s="541"/>
      <c r="AH49" s="541"/>
      <c r="AI49" s="541"/>
      <c r="AJ49" s="541"/>
      <c r="AK49" s="541"/>
      <c r="AL49" s="541"/>
      <c r="AM49" s="541"/>
      <c r="AN49" s="541"/>
      <c r="AO49" s="541"/>
      <c r="AP49" s="541"/>
      <c r="AQ49" s="541"/>
      <c r="AR49" s="541"/>
      <c r="AS49" s="541"/>
      <c r="AT49" s="541"/>
      <c r="AU49" s="541"/>
      <c r="AV49" s="541"/>
      <c r="AW49" s="541"/>
      <c r="AX49" s="541"/>
      <c r="AY49" s="541"/>
      <c r="AZ49" s="542"/>
      <c r="BA49" s="565" t="str">
        <f>IF(N49="","",IF(CA49,0,VLOOKUP(N49,MY_MATRIX!$A$2:$C$4,3,0)))</f>
        <v/>
      </c>
      <c r="BB49" s="566"/>
      <c r="BC49" s="566"/>
      <c r="BD49" s="567"/>
      <c r="CA49" s="101" t="b">
        <f>IF(R49="",FALSE,IF(R49="（今回登録）",FALSE,TRUE))</f>
        <v>0</v>
      </c>
      <c r="CB49" s="94">
        <f>B49</f>
        <v>15</v>
      </c>
      <c r="CC49" s="87" t="str">
        <f>F50&amp;""</f>
        <v/>
      </c>
      <c r="CD49" s="87" t="str">
        <f>J50&amp;""</f>
        <v/>
      </c>
      <c r="CE49" s="87" t="str">
        <f>F49&amp;""</f>
        <v/>
      </c>
      <c r="CF49" s="87" t="str">
        <f>J49&amp;""</f>
        <v/>
      </c>
      <c r="CG49" s="87" t="str">
        <f>N49&amp;""</f>
        <v/>
      </c>
      <c r="CH49" s="87" t="str">
        <f>IF(AND(CC49&lt;&gt;"",CD49&lt;&gt;"",CE49&lt;&gt;"",CF49&lt;&gt;"",CG49&lt;&gt;""),CG49,"")</f>
        <v/>
      </c>
      <c r="CI49" s="96" t="str">
        <f>IF(T49="","",T49)</f>
        <v/>
      </c>
      <c r="CJ49" s="87" t="str">
        <f>T50&amp;""</f>
        <v/>
      </c>
      <c r="CO49" s="87" t="str">
        <f t="shared" si="0"/>
        <v/>
      </c>
      <c r="CP49" s="87" t="str">
        <f>R49&amp;""</f>
        <v>（今回登録）</v>
      </c>
    </row>
    <row r="50" spans="2:94" ht="21" customHeight="1" thickBot="1" x14ac:dyDescent="0.2">
      <c r="B50" s="714"/>
      <c r="C50" s="715"/>
      <c r="D50" s="715"/>
      <c r="E50" s="715"/>
      <c r="F50" s="733"/>
      <c r="G50" s="734"/>
      <c r="H50" s="734"/>
      <c r="I50" s="734"/>
      <c r="J50" s="734"/>
      <c r="K50" s="734"/>
      <c r="L50" s="734"/>
      <c r="M50" s="735"/>
      <c r="N50" s="731"/>
      <c r="O50" s="732"/>
      <c r="P50" s="732"/>
      <c r="Q50" s="732"/>
      <c r="R50" s="597"/>
      <c r="S50" s="598"/>
      <c r="T50" s="589" t="str">
        <f>IF(ISBLANK(T49),"",DATEDIF(T49,MY_NAME_DEF!$D$21,"Y"))</f>
        <v/>
      </c>
      <c r="U50" s="590"/>
      <c r="V50" s="590"/>
      <c r="W50" s="590"/>
      <c r="X50" s="591"/>
      <c r="Y50" s="586"/>
      <c r="Z50" s="587"/>
      <c r="AA50" s="587"/>
      <c r="AB50" s="587"/>
      <c r="AC50" s="587"/>
      <c r="AD50" s="587"/>
      <c r="AE50" s="587"/>
      <c r="AF50" s="587"/>
      <c r="AG50" s="587"/>
      <c r="AH50" s="588"/>
      <c r="AI50" s="302" t="s">
        <v>397</v>
      </c>
      <c r="AJ50" s="599"/>
      <c r="AK50" s="599"/>
      <c r="AL50" s="599"/>
      <c r="AM50" s="599"/>
      <c r="AN50" s="599"/>
      <c r="AO50" s="599"/>
      <c r="AP50" s="600"/>
      <c r="AQ50" s="537"/>
      <c r="AR50" s="538"/>
      <c r="AS50" s="538"/>
      <c r="AT50" s="538"/>
      <c r="AU50" s="538"/>
      <c r="AV50" s="538"/>
      <c r="AW50" s="538"/>
      <c r="AX50" s="538"/>
      <c r="AY50" s="538"/>
      <c r="AZ50" s="539"/>
      <c r="BA50" s="568"/>
      <c r="BB50" s="569"/>
      <c r="BC50" s="569"/>
      <c r="BD50" s="570"/>
      <c r="CA50" s="101"/>
      <c r="CB50" s="97"/>
      <c r="CC50" s="98"/>
      <c r="CD50" s="98"/>
      <c r="CE50" s="98"/>
      <c r="CF50" s="98"/>
      <c r="CG50" s="98"/>
      <c r="CH50" s="98"/>
      <c r="CI50" s="99"/>
      <c r="CJ50" s="98"/>
      <c r="CK50" s="98"/>
      <c r="CL50" s="98"/>
      <c r="CM50" s="98"/>
      <c r="CN50" s="98"/>
      <c r="CO50" s="98"/>
      <c r="CP50" s="98"/>
    </row>
    <row r="51" spans="2:94" ht="21" customHeight="1" thickTop="1" x14ac:dyDescent="0.15">
      <c r="B51" s="712">
        <v>16</v>
      </c>
      <c r="C51" s="713"/>
      <c r="D51" s="713"/>
      <c r="E51" s="713"/>
      <c r="F51" s="726"/>
      <c r="G51" s="727"/>
      <c r="H51" s="727"/>
      <c r="I51" s="727"/>
      <c r="J51" s="727"/>
      <c r="K51" s="727"/>
      <c r="L51" s="727"/>
      <c r="M51" s="728"/>
      <c r="N51" s="739"/>
      <c r="O51" s="740"/>
      <c r="P51" s="740"/>
      <c r="Q51" s="740"/>
      <c r="R51" s="595" t="s">
        <v>483</v>
      </c>
      <c r="S51" s="596"/>
      <c r="T51" s="592"/>
      <c r="U51" s="593"/>
      <c r="V51" s="593"/>
      <c r="W51" s="593"/>
      <c r="X51" s="594"/>
      <c r="Y51" s="540"/>
      <c r="Z51" s="541"/>
      <c r="AA51" s="541"/>
      <c r="AB51" s="541"/>
      <c r="AC51" s="541"/>
      <c r="AD51" s="541"/>
      <c r="AE51" s="541"/>
      <c r="AF51" s="541"/>
      <c r="AG51" s="541"/>
      <c r="AH51" s="541"/>
      <c r="AI51" s="541"/>
      <c r="AJ51" s="541"/>
      <c r="AK51" s="541"/>
      <c r="AL51" s="541"/>
      <c r="AM51" s="541"/>
      <c r="AN51" s="541"/>
      <c r="AO51" s="541"/>
      <c r="AP51" s="541"/>
      <c r="AQ51" s="541"/>
      <c r="AR51" s="541"/>
      <c r="AS51" s="541"/>
      <c r="AT51" s="541"/>
      <c r="AU51" s="541"/>
      <c r="AV51" s="541"/>
      <c r="AW51" s="541"/>
      <c r="AX51" s="541"/>
      <c r="AY51" s="541"/>
      <c r="AZ51" s="542"/>
      <c r="BA51" s="565" t="str">
        <f>IF(N51="","",IF(CA51,0,VLOOKUP(N51,MY_MATRIX!$A$2:$C$4,3,0)))</f>
        <v/>
      </c>
      <c r="BB51" s="566"/>
      <c r="BC51" s="566"/>
      <c r="BD51" s="567"/>
      <c r="CA51" s="101" t="b">
        <f>IF(R51="",FALSE,IF(R51="（今回登録）",FALSE,TRUE))</f>
        <v>0</v>
      </c>
      <c r="CB51" s="94">
        <f>B51</f>
        <v>16</v>
      </c>
      <c r="CC51" s="87" t="str">
        <f>F52&amp;""</f>
        <v/>
      </c>
      <c r="CD51" s="87" t="str">
        <f>J52&amp;""</f>
        <v/>
      </c>
      <c r="CE51" s="87" t="str">
        <f>F51&amp;""</f>
        <v/>
      </c>
      <c r="CF51" s="87" t="str">
        <f>J51&amp;""</f>
        <v/>
      </c>
      <c r="CG51" s="87" t="str">
        <f>N51&amp;""</f>
        <v/>
      </c>
      <c r="CH51" s="87" t="str">
        <f>IF(AND(CC51&lt;&gt;"",CD51&lt;&gt;"",CE51&lt;&gt;"",CF51&lt;&gt;"",CG51&lt;&gt;""),CG51,"")</f>
        <v/>
      </c>
      <c r="CI51" s="96" t="str">
        <f>IF(T51="","",T51)</f>
        <v/>
      </c>
      <c r="CJ51" s="87" t="str">
        <f>T52&amp;""</f>
        <v/>
      </c>
      <c r="CO51" s="87" t="str">
        <f t="shared" si="0"/>
        <v/>
      </c>
      <c r="CP51" s="87" t="str">
        <f>R51&amp;""</f>
        <v>（今回登録）</v>
      </c>
    </row>
    <row r="52" spans="2:94" ht="21" customHeight="1" thickBot="1" x14ac:dyDescent="0.2">
      <c r="B52" s="714"/>
      <c r="C52" s="715"/>
      <c r="D52" s="715"/>
      <c r="E52" s="715"/>
      <c r="F52" s="733"/>
      <c r="G52" s="734"/>
      <c r="H52" s="734"/>
      <c r="I52" s="734"/>
      <c r="J52" s="734"/>
      <c r="K52" s="734"/>
      <c r="L52" s="734"/>
      <c r="M52" s="735"/>
      <c r="N52" s="731"/>
      <c r="O52" s="732"/>
      <c r="P52" s="732"/>
      <c r="Q52" s="732"/>
      <c r="R52" s="597"/>
      <c r="S52" s="598"/>
      <c r="T52" s="589" t="str">
        <f>IF(ISBLANK(T51),"",DATEDIF(T51,MY_NAME_DEF!$D$21,"Y"))</f>
        <v/>
      </c>
      <c r="U52" s="590"/>
      <c r="V52" s="590"/>
      <c r="W52" s="590"/>
      <c r="X52" s="591"/>
      <c r="Y52" s="586"/>
      <c r="Z52" s="587"/>
      <c r="AA52" s="587"/>
      <c r="AB52" s="587"/>
      <c r="AC52" s="587"/>
      <c r="AD52" s="587"/>
      <c r="AE52" s="587"/>
      <c r="AF52" s="587"/>
      <c r="AG52" s="587"/>
      <c r="AH52" s="588"/>
      <c r="AI52" s="302" t="s">
        <v>397</v>
      </c>
      <c r="AJ52" s="599"/>
      <c r="AK52" s="599"/>
      <c r="AL52" s="599"/>
      <c r="AM52" s="599"/>
      <c r="AN52" s="599"/>
      <c r="AO52" s="599"/>
      <c r="AP52" s="600"/>
      <c r="AQ52" s="537"/>
      <c r="AR52" s="538"/>
      <c r="AS52" s="538"/>
      <c r="AT52" s="538"/>
      <c r="AU52" s="538"/>
      <c r="AV52" s="538"/>
      <c r="AW52" s="538"/>
      <c r="AX52" s="538"/>
      <c r="AY52" s="538"/>
      <c r="AZ52" s="539"/>
      <c r="BA52" s="568"/>
      <c r="BB52" s="569"/>
      <c r="BC52" s="569"/>
      <c r="BD52" s="570"/>
      <c r="CA52" s="101"/>
      <c r="CB52" s="97"/>
      <c r="CC52" s="98"/>
      <c r="CD52" s="98"/>
      <c r="CE52" s="98"/>
      <c r="CF52" s="98"/>
      <c r="CG52" s="98"/>
      <c r="CH52" s="98"/>
      <c r="CI52" s="99"/>
      <c r="CJ52" s="98"/>
      <c r="CK52" s="98"/>
      <c r="CL52" s="98"/>
      <c r="CM52" s="98"/>
      <c r="CN52" s="98"/>
      <c r="CO52" s="98"/>
      <c r="CP52" s="98"/>
    </row>
    <row r="53" spans="2:94" ht="21" customHeight="1" thickTop="1" x14ac:dyDescent="0.15">
      <c r="B53" s="712">
        <v>17</v>
      </c>
      <c r="C53" s="713"/>
      <c r="D53" s="713"/>
      <c r="E53" s="713"/>
      <c r="F53" s="726"/>
      <c r="G53" s="727"/>
      <c r="H53" s="727"/>
      <c r="I53" s="727"/>
      <c r="J53" s="727"/>
      <c r="K53" s="727"/>
      <c r="L53" s="727"/>
      <c r="M53" s="728"/>
      <c r="N53" s="739"/>
      <c r="O53" s="740"/>
      <c r="P53" s="740"/>
      <c r="Q53" s="740"/>
      <c r="R53" s="595" t="s">
        <v>483</v>
      </c>
      <c r="S53" s="596"/>
      <c r="T53" s="592"/>
      <c r="U53" s="593"/>
      <c r="V53" s="593"/>
      <c r="W53" s="593"/>
      <c r="X53" s="594"/>
      <c r="Y53" s="540"/>
      <c r="Z53" s="541"/>
      <c r="AA53" s="541"/>
      <c r="AB53" s="541"/>
      <c r="AC53" s="541"/>
      <c r="AD53" s="541"/>
      <c r="AE53" s="541"/>
      <c r="AF53" s="541"/>
      <c r="AG53" s="541"/>
      <c r="AH53" s="541"/>
      <c r="AI53" s="541"/>
      <c r="AJ53" s="541"/>
      <c r="AK53" s="541"/>
      <c r="AL53" s="541"/>
      <c r="AM53" s="541"/>
      <c r="AN53" s="541"/>
      <c r="AO53" s="541"/>
      <c r="AP53" s="541"/>
      <c r="AQ53" s="541"/>
      <c r="AR53" s="541"/>
      <c r="AS53" s="541"/>
      <c r="AT53" s="541"/>
      <c r="AU53" s="541"/>
      <c r="AV53" s="541"/>
      <c r="AW53" s="541"/>
      <c r="AX53" s="541"/>
      <c r="AY53" s="541"/>
      <c r="AZ53" s="542"/>
      <c r="BA53" s="565" t="str">
        <f>IF(N53="","",IF(CA53,0,VLOOKUP(N53,MY_MATRIX!$A$2:$C$4,3,0)))</f>
        <v/>
      </c>
      <c r="BB53" s="566"/>
      <c r="BC53" s="566"/>
      <c r="BD53" s="567"/>
      <c r="CA53" s="101" t="b">
        <f>IF(R53="",FALSE,IF(R53="（今回登録）",FALSE,TRUE))</f>
        <v>0</v>
      </c>
      <c r="CB53" s="94">
        <f>B53</f>
        <v>17</v>
      </c>
      <c r="CC53" s="87" t="str">
        <f>F54&amp;""</f>
        <v/>
      </c>
      <c r="CD53" s="87" t="str">
        <f>J54&amp;""</f>
        <v/>
      </c>
      <c r="CE53" s="87" t="str">
        <f>F53&amp;""</f>
        <v/>
      </c>
      <c r="CF53" s="87" t="str">
        <f>J53&amp;""</f>
        <v/>
      </c>
      <c r="CG53" s="87" t="str">
        <f>N53&amp;""</f>
        <v/>
      </c>
      <c r="CH53" s="87" t="str">
        <f>IF(AND(CC53&lt;&gt;"",CD53&lt;&gt;"",CE53&lt;&gt;"",CF53&lt;&gt;"",CG53&lt;&gt;""),CG53,"")</f>
        <v/>
      </c>
      <c r="CI53" s="96" t="str">
        <f>IF(T53="","",T53)</f>
        <v/>
      </c>
      <c r="CJ53" s="87" t="str">
        <f>T54&amp;""</f>
        <v/>
      </c>
      <c r="CO53" s="87" t="str">
        <f t="shared" si="0"/>
        <v/>
      </c>
      <c r="CP53" s="87" t="str">
        <f>R53&amp;""</f>
        <v>（今回登録）</v>
      </c>
    </row>
    <row r="54" spans="2:94" ht="21" customHeight="1" thickBot="1" x14ac:dyDescent="0.2">
      <c r="B54" s="714"/>
      <c r="C54" s="715"/>
      <c r="D54" s="715"/>
      <c r="E54" s="715"/>
      <c r="F54" s="733"/>
      <c r="G54" s="734"/>
      <c r="H54" s="734"/>
      <c r="I54" s="734"/>
      <c r="J54" s="734"/>
      <c r="K54" s="734"/>
      <c r="L54" s="734"/>
      <c r="M54" s="735"/>
      <c r="N54" s="731"/>
      <c r="O54" s="732"/>
      <c r="P54" s="732"/>
      <c r="Q54" s="732"/>
      <c r="R54" s="597"/>
      <c r="S54" s="598"/>
      <c r="T54" s="589" t="str">
        <f>IF(ISBLANK(T53),"",DATEDIF(T53,MY_NAME_DEF!$D$21,"Y"))</f>
        <v/>
      </c>
      <c r="U54" s="590"/>
      <c r="V54" s="590"/>
      <c r="W54" s="590"/>
      <c r="X54" s="591"/>
      <c r="Y54" s="586"/>
      <c r="Z54" s="587"/>
      <c r="AA54" s="587"/>
      <c r="AB54" s="587"/>
      <c r="AC54" s="587"/>
      <c r="AD54" s="587"/>
      <c r="AE54" s="587"/>
      <c r="AF54" s="587"/>
      <c r="AG54" s="587"/>
      <c r="AH54" s="588"/>
      <c r="AI54" s="302" t="s">
        <v>397</v>
      </c>
      <c r="AJ54" s="599"/>
      <c r="AK54" s="599"/>
      <c r="AL54" s="599"/>
      <c r="AM54" s="599"/>
      <c r="AN54" s="599"/>
      <c r="AO54" s="599"/>
      <c r="AP54" s="600"/>
      <c r="AQ54" s="537"/>
      <c r="AR54" s="538"/>
      <c r="AS54" s="538"/>
      <c r="AT54" s="538"/>
      <c r="AU54" s="538"/>
      <c r="AV54" s="538"/>
      <c r="AW54" s="538"/>
      <c r="AX54" s="538"/>
      <c r="AY54" s="538"/>
      <c r="AZ54" s="539"/>
      <c r="BA54" s="568"/>
      <c r="BB54" s="569"/>
      <c r="BC54" s="569"/>
      <c r="BD54" s="570"/>
      <c r="CA54" s="101"/>
      <c r="CB54" s="97"/>
      <c r="CC54" s="98"/>
      <c r="CD54" s="98"/>
      <c r="CE54" s="98"/>
      <c r="CF54" s="98"/>
      <c r="CG54" s="98"/>
      <c r="CH54" s="98"/>
      <c r="CI54" s="99"/>
      <c r="CJ54" s="98"/>
      <c r="CK54" s="98"/>
      <c r="CL54" s="98"/>
      <c r="CM54" s="98"/>
      <c r="CN54" s="98"/>
      <c r="CO54" s="98"/>
      <c r="CP54" s="98"/>
    </row>
    <row r="55" spans="2:94" ht="21" customHeight="1" thickTop="1" x14ac:dyDescent="0.15">
      <c r="B55" s="708">
        <v>18</v>
      </c>
      <c r="C55" s="709"/>
      <c r="D55" s="709"/>
      <c r="E55" s="709"/>
      <c r="F55" s="742"/>
      <c r="G55" s="743"/>
      <c r="H55" s="743"/>
      <c r="I55" s="743"/>
      <c r="J55" s="743"/>
      <c r="K55" s="743"/>
      <c r="L55" s="743"/>
      <c r="M55" s="744"/>
      <c r="N55" s="745"/>
      <c r="O55" s="746"/>
      <c r="P55" s="746"/>
      <c r="Q55" s="746"/>
      <c r="R55" s="752" t="s">
        <v>483</v>
      </c>
      <c r="S55" s="753"/>
      <c r="T55" s="763"/>
      <c r="U55" s="764"/>
      <c r="V55" s="764"/>
      <c r="W55" s="764"/>
      <c r="X55" s="765"/>
      <c r="Y55" s="540"/>
      <c r="Z55" s="541"/>
      <c r="AA55" s="541"/>
      <c r="AB55" s="541"/>
      <c r="AC55" s="541"/>
      <c r="AD55" s="541"/>
      <c r="AE55" s="541"/>
      <c r="AF55" s="541"/>
      <c r="AG55" s="541"/>
      <c r="AH55" s="541"/>
      <c r="AI55" s="541"/>
      <c r="AJ55" s="541"/>
      <c r="AK55" s="541"/>
      <c r="AL55" s="541"/>
      <c r="AM55" s="541"/>
      <c r="AN55" s="541"/>
      <c r="AO55" s="541"/>
      <c r="AP55" s="541"/>
      <c r="AQ55" s="541"/>
      <c r="AR55" s="541"/>
      <c r="AS55" s="541"/>
      <c r="AT55" s="541"/>
      <c r="AU55" s="541"/>
      <c r="AV55" s="541"/>
      <c r="AW55" s="541"/>
      <c r="AX55" s="541"/>
      <c r="AY55" s="541"/>
      <c r="AZ55" s="542"/>
      <c r="BA55" s="741" t="str">
        <f>IF(N55="","",IF(CA55,0,VLOOKUP(N55,MY_MATRIX!$A$2:$C$4,3,0)))</f>
        <v/>
      </c>
      <c r="BB55" s="581"/>
      <c r="BC55" s="581"/>
      <c r="BD55" s="582"/>
      <c r="CA55" s="101" t="b">
        <f>IF(R55="",FALSE,IF(R55="（今回登録）",FALSE,TRUE))</f>
        <v>0</v>
      </c>
      <c r="CB55" s="94">
        <f>B55</f>
        <v>18</v>
      </c>
      <c r="CC55" s="87" t="str">
        <f>F56&amp;""</f>
        <v/>
      </c>
      <c r="CD55" s="87" t="str">
        <f>J56&amp;""</f>
        <v/>
      </c>
      <c r="CE55" s="87" t="str">
        <f>F55&amp;""</f>
        <v/>
      </c>
      <c r="CF55" s="87" t="str">
        <f>J55&amp;""</f>
        <v/>
      </c>
      <c r="CG55" s="87" t="str">
        <f>N55&amp;""</f>
        <v/>
      </c>
      <c r="CH55" s="87" t="str">
        <f>IF(AND(CC55&lt;&gt;"",CD55&lt;&gt;"",CE55&lt;&gt;"",CF55&lt;&gt;"",CG55&lt;&gt;""),CG55,"")</f>
        <v/>
      </c>
      <c r="CI55" s="96" t="str">
        <f>IF(T55="","",T55)</f>
        <v/>
      </c>
      <c r="CJ55" s="87" t="str">
        <f>T56&amp;""</f>
        <v/>
      </c>
      <c r="CO55" s="87" t="str">
        <f t="shared" si="0"/>
        <v/>
      </c>
      <c r="CP55" s="87" t="str">
        <f>R55&amp;""</f>
        <v>（今回登録）</v>
      </c>
    </row>
    <row r="56" spans="2:94" ht="21" customHeight="1" thickBot="1" x14ac:dyDescent="0.2">
      <c r="B56" s="710"/>
      <c r="C56" s="711"/>
      <c r="D56" s="711"/>
      <c r="E56" s="711"/>
      <c r="F56" s="749"/>
      <c r="G56" s="750"/>
      <c r="H56" s="750"/>
      <c r="I56" s="750"/>
      <c r="J56" s="750"/>
      <c r="K56" s="750"/>
      <c r="L56" s="750"/>
      <c r="M56" s="751"/>
      <c r="N56" s="747"/>
      <c r="O56" s="748"/>
      <c r="P56" s="748"/>
      <c r="Q56" s="748"/>
      <c r="R56" s="754"/>
      <c r="S56" s="755"/>
      <c r="T56" s="757" t="str">
        <f>IF(ISBLANK(T55),"",DATEDIF(T55,MY_NAME_DEF!$D$21,"Y"))</f>
        <v/>
      </c>
      <c r="U56" s="758"/>
      <c r="V56" s="758"/>
      <c r="W56" s="758"/>
      <c r="X56" s="759"/>
      <c r="Y56" s="760"/>
      <c r="Z56" s="761"/>
      <c r="AA56" s="761"/>
      <c r="AB56" s="761"/>
      <c r="AC56" s="761"/>
      <c r="AD56" s="761"/>
      <c r="AE56" s="761"/>
      <c r="AF56" s="761"/>
      <c r="AG56" s="761"/>
      <c r="AH56" s="762"/>
      <c r="AI56" s="301" t="s">
        <v>397</v>
      </c>
      <c r="AJ56" s="563"/>
      <c r="AK56" s="563"/>
      <c r="AL56" s="563"/>
      <c r="AM56" s="563"/>
      <c r="AN56" s="563"/>
      <c r="AO56" s="563"/>
      <c r="AP56" s="756"/>
      <c r="AQ56" s="554"/>
      <c r="AR56" s="555"/>
      <c r="AS56" s="555"/>
      <c r="AT56" s="555"/>
      <c r="AU56" s="555"/>
      <c r="AV56" s="555"/>
      <c r="AW56" s="555"/>
      <c r="AX56" s="555"/>
      <c r="AY56" s="555"/>
      <c r="AZ56" s="556"/>
      <c r="BA56" s="583"/>
      <c r="BB56" s="584"/>
      <c r="BC56" s="584"/>
      <c r="BD56" s="585"/>
      <c r="CA56" s="101"/>
      <c r="CB56" s="97"/>
      <c r="CC56" s="98"/>
      <c r="CD56" s="98"/>
      <c r="CE56" s="98"/>
      <c r="CF56" s="98"/>
      <c r="CG56" s="98"/>
      <c r="CH56" s="98"/>
      <c r="CI56" s="99"/>
      <c r="CJ56" s="98"/>
      <c r="CK56" s="98"/>
      <c r="CL56" s="98"/>
      <c r="CM56" s="98"/>
      <c r="CN56" s="98"/>
      <c r="CO56" s="98"/>
      <c r="CP56" s="98"/>
    </row>
    <row r="57" spans="2:94" ht="20.100000000000001" hidden="1" customHeight="1" x14ac:dyDescent="0.15">
      <c r="B57" s="718">
        <v>19</v>
      </c>
      <c r="C57" s="719"/>
      <c r="D57" s="719"/>
      <c r="E57" s="719"/>
      <c r="F57" s="822"/>
      <c r="G57" s="823"/>
      <c r="H57" s="823"/>
      <c r="I57" s="823"/>
      <c r="J57" s="823"/>
      <c r="K57" s="823"/>
      <c r="L57" s="823"/>
      <c r="M57" s="824"/>
      <c r="N57" s="825"/>
      <c r="O57" s="826"/>
      <c r="P57" s="826"/>
      <c r="Q57" s="826"/>
      <c r="R57" s="766"/>
      <c r="S57" s="767"/>
      <c r="T57" s="788"/>
      <c r="U57" s="789"/>
      <c r="V57" s="789"/>
      <c r="W57" s="789"/>
      <c r="X57" s="789"/>
      <c r="Y57" s="789"/>
      <c r="Z57" s="790"/>
      <c r="AA57" s="783"/>
      <c r="AB57" s="783"/>
      <c r="AC57" s="783"/>
      <c r="AD57" s="783"/>
      <c r="AE57" s="783"/>
      <c r="AF57" s="783"/>
      <c r="AG57" s="783"/>
      <c r="AH57" s="783"/>
      <c r="AI57" s="783"/>
      <c r="AJ57" s="783"/>
      <c r="AK57" s="783"/>
      <c r="AL57" s="783"/>
      <c r="AM57" s="783"/>
      <c r="AN57" s="783"/>
      <c r="AO57" s="791" t="s">
        <v>347</v>
      </c>
      <c r="AP57" s="791"/>
      <c r="AQ57" s="791"/>
      <c r="AR57" s="791"/>
      <c r="AS57" s="777"/>
      <c r="AT57" s="778"/>
      <c r="AU57" s="104" t="s">
        <v>73</v>
      </c>
      <c r="AV57" s="779"/>
      <c r="AW57" s="778"/>
      <c r="AX57" s="104" t="s">
        <v>73</v>
      </c>
      <c r="AY57" s="779"/>
      <c r="AZ57" s="780"/>
      <c r="BA57" s="770" t="str">
        <f>IF(N57="","",IF(CA57,0,VLOOKUP(N57,MY_MATRIX!$A$2:$C$4,3,0)))</f>
        <v/>
      </c>
      <c r="BB57" s="770"/>
      <c r="BC57" s="770"/>
      <c r="BD57" s="771"/>
      <c r="CA57" s="101" t="b">
        <v>0</v>
      </c>
      <c r="CB57" s="94">
        <f>B57</f>
        <v>19</v>
      </c>
      <c r="CC57" s="87" t="str">
        <f>F58&amp;""</f>
        <v/>
      </c>
      <c r="CD57" s="87" t="str">
        <f>J58&amp;""</f>
        <v/>
      </c>
      <c r="CE57" s="87" t="str">
        <f>F57&amp;""</f>
        <v/>
      </c>
      <c r="CF57" s="87" t="str">
        <f>J57&amp;""</f>
        <v/>
      </c>
      <c r="CG57" s="87" t="str">
        <f>N57&amp;""</f>
        <v/>
      </c>
      <c r="CH57" s="87" t="str">
        <f>IF(AND(CC57&lt;&gt;"",CD57&lt;&gt;"",CE57&lt;&gt;"",CF57&lt;&gt;""),IF(CG57="","済み",VLOOKUP(CG57,MY_NAME_DEF!$B$31:$C$33,2,0)),"")</f>
        <v/>
      </c>
      <c r="CI57" s="96" t="str">
        <f>IF(T57="","",T57)</f>
        <v/>
      </c>
      <c r="CJ57" s="87" t="str">
        <f>T58&amp;""</f>
        <v/>
      </c>
      <c r="CL57" s="87" t="str">
        <f>AA57&amp;""</f>
        <v/>
      </c>
      <c r="CM57" s="87" t="str">
        <f>IF(AND(AS57&lt;&gt;"",AV57&lt;&gt;"",AY57&lt;&gt;""),AS57&amp;"-"&amp;AV57&amp;"-"&amp;AY57,"")</f>
        <v/>
      </c>
      <c r="CN57" s="87" t="str">
        <f>IF(AND(AS58&lt;&gt;"",AV58&lt;&gt;"",AY58&lt;&gt;""),AS58&amp;"-"&amp;AV58&amp;"-"&amp;AY58,"")</f>
        <v/>
      </c>
      <c r="CO57" s="87" t="str">
        <f t="shared" si="0"/>
        <v/>
      </c>
      <c r="CP57" s="87" t="str">
        <f>R57&amp;""</f>
        <v/>
      </c>
    </row>
    <row r="58" spans="2:94" ht="20.100000000000001" hidden="1" customHeight="1" x14ac:dyDescent="0.15">
      <c r="B58" s="720"/>
      <c r="C58" s="721"/>
      <c r="D58" s="721"/>
      <c r="E58" s="721"/>
      <c r="F58" s="827"/>
      <c r="G58" s="828"/>
      <c r="H58" s="828"/>
      <c r="I58" s="828"/>
      <c r="J58" s="828"/>
      <c r="K58" s="828"/>
      <c r="L58" s="828"/>
      <c r="M58" s="829"/>
      <c r="N58" s="797"/>
      <c r="O58" s="798"/>
      <c r="P58" s="798"/>
      <c r="Q58" s="798"/>
      <c r="R58" s="768"/>
      <c r="S58" s="769"/>
      <c r="T58" s="785" t="str">
        <f>IF(ISBLANK(T57),"",DATEDIF(T57,MY_NAME_DEF!$D$21,"Y"))</f>
        <v/>
      </c>
      <c r="U58" s="786"/>
      <c r="V58" s="786"/>
      <c r="W58" s="786"/>
      <c r="X58" s="786"/>
      <c r="Y58" s="786"/>
      <c r="Z58" s="787"/>
      <c r="AA58" s="784"/>
      <c r="AB58" s="784"/>
      <c r="AC58" s="784"/>
      <c r="AD58" s="784"/>
      <c r="AE58" s="784"/>
      <c r="AF58" s="784"/>
      <c r="AG58" s="784"/>
      <c r="AH58" s="784"/>
      <c r="AI58" s="784"/>
      <c r="AJ58" s="784"/>
      <c r="AK58" s="784"/>
      <c r="AL58" s="784"/>
      <c r="AM58" s="784"/>
      <c r="AN58" s="784"/>
      <c r="AO58" s="774" t="s">
        <v>348</v>
      </c>
      <c r="AP58" s="774"/>
      <c r="AQ58" s="774"/>
      <c r="AR58" s="774"/>
      <c r="AS58" s="781"/>
      <c r="AT58" s="776"/>
      <c r="AU58" s="91" t="s">
        <v>73</v>
      </c>
      <c r="AV58" s="775"/>
      <c r="AW58" s="776"/>
      <c r="AX58" s="91" t="s">
        <v>73</v>
      </c>
      <c r="AY58" s="775"/>
      <c r="AZ58" s="782"/>
      <c r="BA58" s="772"/>
      <c r="BB58" s="772"/>
      <c r="BC58" s="772"/>
      <c r="BD58" s="773"/>
      <c r="CA58" s="101"/>
      <c r="CB58" s="97"/>
      <c r="CC58" s="98"/>
      <c r="CD58" s="98"/>
      <c r="CE58" s="98"/>
      <c r="CF58" s="98"/>
      <c r="CG58" s="98"/>
      <c r="CH58" s="98"/>
      <c r="CI58" s="99"/>
      <c r="CJ58" s="98"/>
      <c r="CK58" s="98"/>
      <c r="CL58" s="98"/>
      <c r="CM58" s="98"/>
      <c r="CN58" s="98"/>
      <c r="CO58" s="98"/>
      <c r="CP58" s="98"/>
    </row>
    <row r="59" spans="2:94" ht="20.100000000000001" hidden="1" customHeight="1" x14ac:dyDescent="0.15">
      <c r="B59" s="720">
        <v>20</v>
      </c>
      <c r="C59" s="721"/>
      <c r="D59" s="721"/>
      <c r="E59" s="721"/>
      <c r="F59" s="794"/>
      <c r="G59" s="795"/>
      <c r="H59" s="795"/>
      <c r="I59" s="795"/>
      <c r="J59" s="795"/>
      <c r="K59" s="795"/>
      <c r="L59" s="795"/>
      <c r="M59" s="796"/>
      <c r="N59" s="797"/>
      <c r="O59" s="798"/>
      <c r="P59" s="798"/>
      <c r="Q59" s="798"/>
      <c r="R59" s="768"/>
      <c r="S59" s="769"/>
      <c r="T59" s="788"/>
      <c r="U59" s="789"/>
      <c r="V59" s="789"/>
      <c r="W59" s="789"/>
      <c r="X59" s="789"/>
      <c r="Y59" s="789"/>
      <c r="Z59" s="790"/>
      <c r="AA59" s="784"/>
      <c r="AB59" s="784"/>
      <c r="AC59" s="784"/>
      <c r="AD59" s="784"/>
      <c r="AE59" s="784"/>
      <c r="AF59" s="784"/>
      <c r="AG59" s="784"/>
      <c r="AH59" s="784"/>
      <c r="AI59" s="784"/>
      <c r="AJ59" s="784"/>
      <c r="AK59" s="784"/>
      <c r="AL59" s="784"/>
      <c r="AM59" s="784"/>
      <c r="AN59" s="784"/>
      <c r="AO59" s="818" t="s">
        <v>347</v>
      </c>
      <c r="AP59" s="818"/>
      <c r="AQ59" s="818"/>
      <c r="AR59" s="818"/>
      <c r="AS59" s="813"/>
      <c r="AT59" s="807"/>
      <c r="AU59" s="92" t="s">
        <v>73</v>
      </c>
      <c r="AV59" s="806"/>
      <c r="AW59" s="807"/>
      <c r="AX59" s="92" t="s">
        <v>73</v>
      </c>
      <c r="AY59" s="806"/>
      <c r="AZ59" s="814"/>
      <c r="BA59" s="772" t="str">
        <f>IF(N59="","",IF(CA59,0,VLOOKUP(N59,MY_MATRIX!$A$2:$C$4,3,0)))</f>
        <v/>
      </c>
      <c r="BB59" s="772"/>
      <c r="BC59" s="772"/>
      <c r="BD59" s="773"/>
      <c r="CA59" s="101" t="b">
        <v>0</v>
      </c>
      <c r="CB59" s="94">
        <f>B59</f>
        <v>20</v>
      </c>
      <c r="CC59" s="87" t="str">
        <f>F60&amp;""</f>
        <v/>
      </c>
      <c r="CD59" s="87" t="str">
        <f>J60&amp;""</f>
        <v/>
      </c>
      <c r="CE59" s="87" t="str">
        <f>F59&amp;""</f>
        <v/>
      </c>
      <c r="CF59" s="87" t="str">
        <f>J59&amp;""</f>
        <v/>
      </c>
      <c r="CG59" s="87" t="str">
        <f>N59&amp;""</f>
        <v/>
      </c>
      <c r="CH59" s="87" t="str">
        <f>IF(AND(CC59&lt;&gt;"",CD59&lt;&gt;"",CE59&lt;&gt;"",CF59&lt;&gt;""),IF(CG59="","済み",VLOOKUP(CG59,MY_NAME_DEF!$B$31:$C$33,2,0)),"")</f>
        <v/>
      </c>
      <c r="CI59" s="96" t="str">
        <f>IF(T59="","",T59)</f>
        <v/>
      </c>
      <c r="CJ59" s="87" t="str">
        <f>T60&amp;""</f>
        <v/>
      </c>
      <c r="CL59" s="87" t="str">
        <f>AA59&amp;""</f>
        <v/>
      </c>
      <c r="CM59" s="87" t="str">
        <f>IF(AND(AS59&lt;&gt;"",AV59&lt;&gt;"",AY59&lt;&gt;""),AS59&amp;"-"&amp;AV59&amp;"-"&amp;AY59,"")</f>
        <v/>
      </c>
      <c r="CN59" s="87" t="str">
        <f>IF(AND(AS60&lt;&gt;"",AV60&lt;&gt;"",AY60&lt;&gt;""),AS60&amp;"-"&amp;AV60&amp;"-"&amp;AY60,"")</f>
        <v/>
      </c>
      <c r="CO59" s="87" t="str">
        <f t="shared" si="0"/>
        <v/>
      </c>
      <c r="CP59" s="87" t="str">
        <f>R59&amp;""</f>
        <v/>
      </c>
    </row>
    <row r="60" spans="2:94" ht="20.100000000000001" hidden="1" customHeight="1" thickBot="1" x14ac:dyDescent="0.2">
      <c r="B60" s="722"/>
      <c r="C60" s="723"/>
      <c r="D60" s="723"/>
      <c r="E60" s="723"/>
      <c r="F60" s="801"/>
      <c r="G60" s="802"/>
      <c r="H60" s="802"/>
      <c r="I60" s="802"/>
      <c r="J60" s="802"/>
      <c r="K60" s="802"/>
      <c r="L60" s="802"/>
      <c r="M60" s="803"/>
      <c r="N60" s="799"/>
      <c r="O60" s="800"/>
      <c r="P60" s="800"/>
      <c r="Q60" s="800"/>
      <c r="R60" s="804"/>
      <c r="S60" s="805"/>
      <c r="T60" s="819" t="str">
        <f>IF(ISBLANK(T59),"",DATEDIF(T59,MY_NAME_DEF!$D$21,"Y"))</f>
        <v/>
      </c>
      <c r="U60" s="820"/>
      <c r="V60" s="820"/>
      <c r="W60" s="820"/>
      <c r="X60" s="820"/>
      <c r="Y60" s="820"/>
      <c r="Z60" s="821"/>
      <c r="AA60" s="817"/>
      <c r="AB60" s="817"/>
      <c r="AC60" s="817"/>
      <c r="AD60" s="817"/>
      <c r="AE60" s="817"/>
      <c r="AF60" s="817"/>
      <c r="AG60" s="817"/>
      <c r="AH60" s="817"/>
      <c r="AI60" s="817"/>
      <c r="AJ60" s="817"/>
      <c r="AK60" s="817"/>
      <c r="AL60" s="817"/>
      <c r="AM60" s="817"/>
      <c r="AN60" s="817"/>
      <c r="AO60" s="810" t="s">
        <v>348</v>
      </c>
      <c r="AP60" s="810"/>
      <c r="AQ60" s="810"/>
      <c r="AR60" s="810"/>
      <c r="AS60" s="815"/>
      <c r="AT60" s="812"/>
      <c r="AU60" s="90" t="s">
        <v>73</v>
      </c>
      <c r="AV60" s="811"/>
      <c r="AW60" s="812"/>
      <c r="AX60" s="90" t="s">
        <v>73</v>
      </c>
      <c r="AY60" s="811"/>
      <c r="AZ60" s="816"/>
      <c r="BA60" s="808"/>
      <c r="BB60" s="808"/>
      <c r="BC60" s="808"/>
      <c r="BD60" s="809"/>
      <c r="CA60" s="101"/>
      <c r="CB60" s="97"/>
      <c r="CC60" s="98"/>
      <c r="CD60" s="98"/>
      <c r="CE60" s="98"/>
      <c r="CF60" s="98"/>
      <c r="CG60" s="98"/>
      <c r="CH60" s="98"/>
      <c r="CI60" s="99"/>
      <c r="CJ60" s="98"/>
      <c r="CK60" s="98"/>
      <c r="CL60" s="98"/>
      <c r="CM60" s="98"/>
      <c r="CN60" s="98"/>
      <c r="CO60" s="98"/>
      <c r="CP60" s="98"/>
    </row>
    <row r="61" spans="2:94" x14ac:dyDescent="0.15">
      <c r="B61" s="703"/>
      <c r="C61" s="703"/>
    </row>
    <row r="62" spans="2:94" ht="24" x14ac:dyDescent="0.25">
      <c r="B62" s="703"/>
      <c r="C62" s="703"/>
      <c r="BE62" s="312" t="s">
        <v>122</v>
      </c>
    </row>
    <row r="63" spans="2:94" x14ac:dyDescent="0.15">
      <c r="B63" s="703"/>
      <c r="C63" s="703"/>
    </row>
    <row r="64" spans="2:94" x14ac:dyDescent="0.15">
      <c r="B64" s="703"/>
      <c r="C64" s="703"/>
    </row>
    <row r="65" spans="2:3" x14ac:dyDescent="0.15">
      <c r="B65" s="703"/>
      <c r="C65" s="703"/>
    </row>
  </sheetData>
  <sheetProtection password="FFBB" sheet="1" objects="1" scenarios="1"/>
  <mergeCells count="372">
    <mergeCell ref="U8:Z8"/>
    <mergeCell ref="AB8:AE8"/>
    <mergeCell ref="T47:X47"/>
    <mergeCell ref="AJ32:AP32"/>
    <mergeCell ref="AQ32:AZ32"/>
    <mergeCell ref="T35:X35"/>
    <mergeCell ref="T38:X38"/>
    <mergeCell ref="T50:X50"/>
    <mergeCell ref="Y50:AH50"/>
    <mergeCell ref="T48:X48"/>
    <mergeCell ref="AJ48:AP48"/>
    <mergeCell ref="T49:X49"/>
    <mergeCell ref="Y48:AH48"/>
    <mergeCell ref="AJ44:AP44"/>
    <mergeCell ref="T45:X45"/>
    <mergeCell ref="Y44:AH44"/>
    <mergeCell ref="T40:X40"/>
    <mergeCell ref="T42:X42"/>
    <mergeCell ref="T44:X44"/>
    <mergeCell ref="N13:BD13"/>
    <mergeCell ref="BA45:BD46"/>
    <mergeCell ref="BA49:BD50"/>
    <mergeCell ref="BA47:BD48"/>
    <mergeCell ref="AQ50:AZ50"/>
    <mergeCell ref="B13:J13"/>
    <mergeCell ref="K13:M13"/>
    <mergeCell ref="AM12:AN12"/>
    <mergeCell ref="AQ30:AZ30"/>
    <mergeCell ref="AJ22:AP22"/>
    <mergeCell ref="AJ30:AP30"/>
    <mergeCell ref="BA29:BD30"/>
    <mergeCell ref="AQ17:AZ17"/>
    <mergeCell ref="T18:X18"/>
    <mergeCell ref="T19:X19"/>
    <mergeCell ref="Y21:AZ21"/>
    <mergeCell ref="AQ22:AZ22"/>
    <mergeCell ref="Y18:AZ18"/>
    <mergeCell ref="T29:X29"/>
    <mergeCell ref="Y25:AZ25"/>
    <mergeCell ref="AJ19:AP19"/>
    <mergeCell ref="J21:M21"/>
    <mergeCell ref="J22:M22"/>
    <mergeCell ref="R21:S22"/>
    <mergeCell ref="T24:X24"/>
    <mergeCell ref="N23:Q24"/>
    <mergeCell ref="N29:Q30"/>
    <mergeCell ref="F27:I27"/>
    <mergeCell ref="J27:M27"/>
    <mergeCell ref="J46:M46"/>
    <mergeCell ref="F45:I45"/>
    <mergeCell ref="J45:M45"/>
    <mergeCell ref="N45:Q46"/>
    <mergeCell ref="T46:X46"/>
    <mergeCell ref="Y46:AH46"/>
    <mergeCell ref="F49:I49"/>
    <mergeCell ref="J49:M49"/>
    <mergeCell ref="N49:Q50"/>
    <mergeCell ref="F50:I50"/>
    <mergeCell ref="J50:M50"/>
    <mergeCell ref="F47:I47"/>
    <mergeCell ref="J47:M47"/>
    <mergeCell ref="N47:Q48"/>
    <mergeCell ref="F48:I48"/>
    <mergeCell ref="J48:M48"/>
    <mergeCell ref="R49:S50"/>
    <mergeCell ref="AJ50:AP50"/>
    <mergeCell ref="B1:BD1"/>
    <mergeCell ref="B2:BD2"/>
    <mergeCell ref="B43:E44"/>
    <mergeCell ref="F43:I43"/>
    <mergeCell ref="J43:M43"/>
    <mergeCell ref="N43:Q44"/>
    <mergeCell ref="BA41:BD42"/>
    <mergeCell ref="BA43:BD44"/>
    <mergeCell ref="F44:I44"/>
    <mergeCell ref="J44:M44"/>
    <mergeCell ref="R43:S44"/>
    <mergeCell ref="T43:X43"/>
    <mergeCell ref="T41:X41"/>
    <mergeCell ref="AE12:AH12"/>
    <mergeCell ref="AQ28:AZ28"/>
    <mergeCell ref="Y34:AH34"/>
    <mergeCell ref="AJ34:AP34"/>
    <mergeCell ref="Y28:AH28"/>
    <mergeCell ref="AJ28:AP28"/>
    <mergeCell ref="Y29:AZ29"/>
    <mergeCell ref="AJ24:AP24"/>
    <mergeCell ref="Y22:AH22"/>
    <mergeCell ref="Y30:AH30"/>
    <mergeCell ref="AJ11:BD11"/>
    <mergeCell ref="F59:I59"/>
    <mergeCell ref="J59:M59"/>
    <mergeCell ref="N59:Q60"/>
    <mergeCell ref="F60:I60"/>
    <mergeCell ref="J60:M60"/>
    <mergeCell ref="R59:S60"/>
    <mergeCell ref="AV59:AW59"/>
    <mergeCell ref="BA59:BD60"/>
    <mergeCell ref="AO60:AR60"/>
    <mergeCell ref="AV60:AW60"/>
    <mergeCell ref="AS59:AT59"/>
    <mergeCell ref="AY59:AZ59"/>
    <mergeCell ref="AS60:AT60"/>
    <mergeCell ref="AY60:AZ60"/>
    <mergeCell ref="AA59:AN60"/>
    <mergeCell ref="T59:Z59"/>
    <mergeCell ref="AO59:AR59"/>
    <mergeCell ref="T60:Z60"/>
    <mergeCell ref="F57:I57"/>
    <mergeCell ref="J57:M57"/>
    <mergeCell ref="N57:Q58"/>
    <mergeCell ref="F58:I58"/>
    <mergeCell ref="J58:M58"/>
    <mergeCell ref="R57:S58"/>
    <mergeCell ref="BA57:BD58"/>
    <mergeCell ref="AO58:AR58"/>
    <mergeCell ref="AV58:AW58"/>
    <mergeCell ref="AS57:AT57"/>
    <mergeCell ref="AY57:AZ57"/>
    <mergeCell ref="AS58:AT58"/>
    <mergeCell ref="AY58:AZ58"/>
    <mergeCell ref="AA57:AN58"/>
    <mergeCell ref="T58:Z58"/>
    <mergeCell ref="T57:Z57"/>
    <mergeCell ref="AO57:AR57"/>
    <mergeCell ref="AV57:AW57"/>
    <mergeCell ref="BA55:BD56"/>
    <mergeCell ref="F55:I55"/>
    <mergeCell ref="J55:M55"/>
    <mergeCell ref="N55:Q56"/>
    <mergeCell ref="F56:I56"/>
    <mergeCell ref="J56:M56"/>
    <mergeCell ref="R55:S56"/>
    <mergeCell ref="Y55:AZ55"/>
    <mergeCell ref="AQ56:AZ56"/>
    <mergeCell ref="AJ56:AP56"/>
    <mergeCell ref="T56:X56"/>
    <mergeCell ref="Y56:AH56"/>
    <mergeCell ref="T55:X55"/>
    <mergeCell ref="BA53:BD54"/>
    <mergeCell ref="F53:I53"/>
    <mergeCell ref="J53:M53"/>
    <mergeCell ref="N53:Q54"/>
    <mergeCell ref="F54:I54"/>
    <mergeCell ref="J54:M54"/>
    <mergeCell ref="T54:X54"/>
    <mergeCell ref="Y53:AZ53"/>
    <mergeCell ref="AQ54:AZ54"/>
    <mergeCell ref="T53:X53"/>
    <mergeCell ref="AJ54:AP54"/>
    <mergeCell ref="Y54:AH54"/>
    <mergeCell ref="BA51:BD52"/>
    <mergeCell ref="F51:I51"/>
    <mergeCell ref="J51:M51"/>
    <mergeCell ref="N51:Q52"/>
    <mergeCell ref="F52:I52"/>
    <mergeCell ref="J52:M52"/>
    <mergeCell ref="T52:X52"/>
    <mergeCell ref="AQ52:AZ52"/>
    <mergeCell ref="AJ52:AP52"/>
    <mergeCell ref="R51:S52"/>
    <mergeCell ref="Y51:AZ51"/>
    <mergeCell ref="Y52:AH52"/>
    <mergeCell ref="T51:X51"/>
    <mergeCell ref="AQ40:AZ40"/>
    <mergeCell ref="AQ48:AZ48"/>
    <mergeCell ref="Y49:AZ49"/>
    <mergeCell ref="Y40:AH40"/>
    <mergeCell ref="AJ40:AP40"/>
    <mergeCell ref="AJ46:AP46"/>
    <mergeCell ref="AQ46:AZ46"/>
    <mergeCell ref="F40:I40"/>
    <mergeCell ref="J40:M40"/>
    <mergeCell ref="R39:S40"/>
    <mergeCell ref="F39:I39"/>
    <mergeCell ref="J39:M39"/>
    <mergeCell ref="N39:Q40"/>
    <mergeCell ref="F41:I41"/>
    <mergeCell ref="J41:M41"/>
    <mergeCell ref="N41:Q42"/>
    <mergeCell ref="F42:I42"/>
    <mergeCell ref="J42:M42"/>
    <mergeCell ref="R41:S42"/>
    <mergeCell ref="R45:S46"/>
    <mergeCell ref="T39:X39"/>
    <mergeCell ref="Y42:AH42"/>
    <mergeCell ref="AJ42:AP42"/>
    <mergeCell ref="F46:I46"/>
    <mergeCell ref="F35:I35"/>
    <mergeCell ref="J35:M35"/>
    <mergeCell ref="N35:Q36"/>
    <mergeCell ref="F38:I38"/>
    <mergeCell ref="J38:M38"/>
    <mergeCell ref="R37:S38"/>
    <mergeCell ref="R35:S36"/>
    <mergeCell ref="F36:I36"/>
    <mergeCell ref="J36:M36"/>
    <mergeCell ref="F37:I37"/>
    <mergeCell ref="J37:M37"/>
    <mergeCell ref="N37:Q38"/>
    <mergeCell ref="F32:I32"/>
    <mergeCell ref="J32:M32"/>
    <mergeCell ref="F31:I31"/>
    <mergeCell ref="J31:M31"/>
    <mergeCell ref="N31:Q32"/>
    <mergeCell ref="T32:X32"/>
    <mergeCell ref="T31:X31"/>
    <mergeCell ref="F34:I34"/>
    <mergeCell ref="J34:M34"/>
    <mergeCell ref="R33:S34"/>
    <mergeCell ref="F33:I33"/>
    <mergeCell ref="J33:M33"/>
    <mergeCell ref="N33:Q34"/>
    <mergeCell ref="N27:Q28"/>
    <mergeCell ref="R27:S28"/>
    <mergeCell ref="F26:I26"/>
    <mergeCell ref="J26:M26"/>
    <mergeCell ref="R25:S26"/>
    <mergeCell ref="T25:X25"/>
    <mergeCell ref="F30:I30"/>
    <mergeCell ref="J30:M30"/>
    <mergeCell ref="R29:S30"/>
    <mergeCell ref="F28:I28"/>
    <mergeCell ref="J28:M28"/>
    <mergeCell ref="F29:I29"/>
    <mergeCell ref="T28:X28"/>
    <mergeCell ref="T30:X30"/>
    <mergeCell ref="J29:M29"/>
    <mergeCell ref="B47:E48"/>
    <mergeCell ref="B33:E34"/>
    <mergeCell ref="B39:E40"/>
    <mergeCell ref="R47:S48"/>
    <mergeCell ref="F21:I21"/>
    <mergeCell ref="Y24:AH24"/>
    <mergeCell ref="F23:I23"/>
    <mergeCell ref="J23:M23"/>
    <mergeCell ref="Y47:AZ47"/>
    <mergeCell ref="B31:E32"/>
    <mergeCell ref="T27:X27"/>
    <mergeCell ref="N21:Q22"/>
    <mergeCell ref="F24:I24"/>
    <mergeCell ref="J24:M24"/>
    <mergeCell ref="T22:X22"/>
    <mergeCell ref="F22:I22"/>
    <mergeCell ref="T21:X21"/>
    <mergeCell ref="Y23:AZ23"/>
    <mergeCell ref="AQ24:AZ24"/>
    <mergeCell ref="F25:I25"/>
    <mergeCell ref="J25:M25"/>
    <mergeCell ref="N25:Q26"/>
    <mergeCell ref="R23:S24"/>
    <mergeCell ref="T23:X23"/>
    <mergeCell ref="K12:W12"/>
    <mergeCell ref="B64:C64"/>
    <mergeCell ref="B16:E17"/>
    <mergeCell ref="B18:E19"/>
    <mergeCell ref="B20:C20"/>
    <mergeCell ref="B27:E28"/>
    <mergeCell ref="B65:C65"/>
    <mergeCell ref="B21:E22"/>
    <mergeCell ref="B23:E24"/>
    <mergeCell ref="B29:E30"/>
    <mergeCell ref="B35:E36"/>
    <mergeCell ref="B57:E58"/>
    <mergeCell ref="B49:E50"/>
    <mergeCell ref="B37:E38"/>
    <mergeCell ref="B61:C61"/>
    <mergeCell ref="B25:E26"/>
    <mergeCell ref="B62:C62"/>
    <mergeCell ref="B63:C63"/>
    <mergeCell ref="B41:E42"/>
    <mergeCell ref="B51:E52"/>
    <mergeCell ref="B53:E54"/>
    <mergeCell ref="B55:E56"/>
    <mergeCell ref="B45:E46"/>
    <mergeCell ref="B59:E60"/>
    <mergeCell ref="CG19:CH19"/>
    <mergeCell ref="B6:F7"/>
    <mergeCell ref="G6:AD6"/>
    <mergeCell ref="AE6:AH7"/>
    <mergeCell ref="AI6:BD7"/>
    <mergeCell ref="G7:L7"/>
    <mergeCell ref="S10:X10"/>
    <mergeCell ref="M7:AD7"/>
    <mergeCell ref="T14:BD14"/>
    <mergeCell ref="AI12:AK12"/>
    <mergeCell ref="B8:F8"/>
    <mergeCell ref="AV9:AY9"/>
    <mergeCell ref="AZ9:BD9"/>
    <mergeCell ref="Y9:AD9"/>
    <mergeCell ref="AE9:AH10"/>
    <mergeCell ref="AJ9:AL9"/>
    <mergeCell ref="AQ9:AU9"/>
    <mergeCell ref="AJ10:BD10"/>
    <mergeCell ref="Y10:AD10"/>
    <mergeCell ref="M8:T8"/>
    <mergeCell ref="B9:F10"/>
    <mergeCell ref="G9:L9"/>
    <mergeCell ref="M9:R9"/>
    <mergeCell ref="S9:X9"/>
    <mergeCell ref="G8:L8"/>
    <mergeCell ref="AN9:AP9"/>
    <mergeCell ref="T26:X26"/>
    <mergeCell ref="Y26:AH26"/>
    <mergeCell ref="AJ26:AP26"/>
    <mergeCell ref="T16:X17"/>
    <mergeCell ref="Y19:AH19"/>
    <mergeCell ref="G12:J12"/>
    <mergeCell ref="K11:W11"/>
    <mergeCell ref="F18:I18"/>
    <mergeCell ref="M10:R10"/>
    <mergeCell ref="G10:L10"/>
    <mergeCell ref="J18:M18"/>
    <mergeCell ref="N18:Q19"/>
    <mergeCell ref="R16:S17"/>
    <mergeCell ref="F19:I19"/>
    <mergeCell ref="J19:M19"/>
    <mergeCell ref="F16:M16"/>
    <mergeCell ref="N16:Q17"/>
    <mergeCell ref="F17:I17"/>
    <mergeCell ref="J17:M17"/>
    <mergeCell ref="R18:S19"/>
    <mergeCell ref="B11:F12"/>
    <mergeCell ref="G11:J11"/>
    <mergeCell ref="Y32:AH32"/>
    <mergeCell ref="BA33:BD34"/>
    <mergeCell ref="T34:X34"/>
    <mergeCell ref="T33:X33"/>
    <mergeCell ref="R53:S54"/>
    <mergeCell ref="R31:S32"/>
    <mergeCell ref="AJ36:AP36"/>
    <mergeCell ref="Y41:AZ41"/>
    <mergeCell ref="AQ42:AZ42"/>
    <mergeCell ref="Y43:AZ43"/>
    <mergeCell ref="AQ44:AZ44"/>
    <mergeCell ref="Y45:AZ45"/>
    <mergeCell ref="Y31:AZ31"/>
    <mergeCell ref="AQ34:AZ34"/>
    <mergeCell ref="Y33:AZ33"/>
    <mergeCell ref="BA37:BD38"/>
    <mergeCell ref="T36:X36"/>
    <mergeCell ref="Y36:AH36"/>
    <mergeCell ref="T37:X37"/>
    <mergeCell ref="Y38:AH38"/>
    <mergeCell ref="AJ38:AP38"/>
    <mergeCell ref="BA39:BD40"/>
    <mergeCell ref="Y35:AZ35"/>
    <mergeCell ref="Y39:AZ39"/>
    <mergeCell ref="AQ36:AZ36"/>
    <mergeCell ref="Y37:AZ37"/>
    <mergeCell ref="AQ38:AZ38"/>
    <mergeCell ref="AE11:AH11"/>
    <mergeCell ref="AR12:AU12"/>
    <mergeCell ref="AP12:AQ12"/>
    <mergeCell ref="AQ26:AZ26"/>
    <mergeCell ref="Y27:AZ27"/>
    <mergeCell ref="AV12:AX12"/>
    <mergeCell ref="AZ12:BA12"/>
    <mergeCell ref="Y16:AZ16"/>
    <mergeCell ref="AQ19:AZ19"/>
    <mergeCell ref="Y17:AP17"/>
    <mergeCell ref="Y11:AD11"/>
    <mergeCell ref="Y12:AD12"/>
    <mergeCell ref="BA23:BD24"/>
    <mergeCell ref="BA21:BD22"/>
    <mergeCell ref="BA25:BD26"/>
    <mergeCell ref="BA27:BD28"/>
    <mergeCell ref="BA35:BD36"/>
    <mergeCell ref="BC12:BD12"/>
    <mergeCell ref="BA16:BD17"/>
    <mergeCell ref="BA18:BD19"/>
    <mergeCell ref="BA31:BD32"/>
  </mergeCells>
  <phoneticPr fontId="9"/>
  <conditionalFormatting sqref="M7:AD7">
    <cfRule type="notContainsText" dxfId="48" priority="38" stopIfTrue="1" operator="notContains" text="英語のチーム名または難解な漢字のチーム名は、カタカナで読み仮名を入力する">
      <formula>ISERROR(SEARCH("英語のチーム名または難解な漢字のチーム名は、カタカナで読み仮名を入力する",M7))</formula>
    </cfRule>
  </conditionalFormatting>
  <conditionalFormatting sqref="X31">
    <cfRule type="expression" dxfId="47" priority="25" stopIfTrue="1">
      <formula>$R$31="（今回登録）"</formula>
    </cfRule>
  </conditionalFormatting>
  <conditionalFormatting sqref="X33">
    <cfRule type="expression" dxfId="46" priority="24" stopIfTrue="1">
      <formula>$R$33="（今回登録）"</formula>
    </cfRule>
  </conditionalFormatting>
  <conditionalFormatting sqref="X35">
    <cfRule type="expression" dxfId="45" priority="23" stopIfTrue="1">
      <formula>$R$35="（今回登録）"</formula>
    </cfRule>
  </conditionalFormatting>
  <conditionalFormatting sqref="X37">
    <cfRule type="expression" dxfId="44" priority="22" stopIfTrue="1">
      <formula>$R$37="（今回登録）"</formula>
    </cfRule>
  </conditionalFormatting>
  <conditionalFormatting sqref="X39">
    <cfRule type="expression" dxfId="43" priority="21" stopIfTrue="1">
      <formula>$R$39="（今回登録）"</formula>
    </cfRule>
  </conditionalFormatting>
  <conditionalFormatting sqref="X41">
    <cfRule type="expression" dxfId="42" priority="20" stopIfTrue="1">
      <formula>$R$41="（今回登録）"</formula>
    </cfRule>
  </conditionalFormatting>
  <conditionalFormatting sqref="X43">
    <cfRule type="expression" dxfId="41" priority="19" stopIfTrue="1">
      <formula>$R$43="（今回登録）"</formula>
    </cfRule>
  </conditionalFormatting>
  <conditionalFormatting sqref="X45">
    <cfRule type="expression" dxfId="40" priority="18" stopIfTrue="1">
      <formula>$R$45="（今回登録）"</formula>
    </cfRule>
  </conditionalFormatting>
  <conditionalFormatting sqref="X47">
    <cfRule type="expression" dxfId="39" priority="17" stopIfTrue="1">
      <formula>$R$47="（今回登録）"</formula>
    </cfRule>
  </conditionalFormatting>
  <conditionalFormatting sqref="X49">
    <cfRule type="expression" dxfId="38" priority="16" stopIfTrue="1">
      <formula>$R$49="（今回登録）"</formula>
    </cfRule>
  </conditionalFormatting>
  <conditionalFormatting sqref="X51">
    <cfRule type="expression" dxfId="37" priority="15" stopIfTrue="1">
      <formula>$R$51="（今回登録）"</formula>
    </cfRule>
  </conditionalFormatting>
  <conditionalFormatting sqref="X53">
    <cfRule type="expression" dxfId="36" priority="14" stopIfTrue="1">
      <formula>$R$53="（今回登録）"</formula>
    </cfRule>
  </conditionalFormatting>
  <conditionalFormatting sqref="AI6:BD7">
    <cfRule type="notContainsText" dxfId="35" priority="37" stopIfTrue="1" operator="notContains" text="チーム名を変更した場合、変更前のチーム名を入力する">
      <formula>ISERROR(SEARCH("チーム名を変更した場合、変更前のチーム名を入力する",AI6))</formula>
    </cfRule>
  </conditionalFormatting>
  <dataValidations count="13">
    <dataValidation type="list" imeMode="on" allowBlank="1" showInputMessage="1" showErrorMessage="1" sqref="G8:L8" xr:uid="{00000000-0002-0000-0300-000000000000}">
      <formula1>チーム構成</formula1>
    </dataValidation>
    <dataValidation type="list" allowBlank="1" showInputMessage="1" showErrorMessage="1" sqref="N57:Q60" xr:uid="{00000000-0002-0000-0300-000001000000}">
      <formula1>会員区分</formula1>
    </dataValidation>
    <dataValidation imeMode="on" allowBlank="1" showInputMessage="1" showErrorMessage="1" sqref="F21:M60 G6:AD6 M7:AD7 AI6:BD7 G10:AD10 AI10:AJ10 AJ11:BD11 AF21:AZ21 AF23:AZ23 AF25:AZ25 AF27:AZ27 AF29:AZ29 AF55:AZ55 AF31:AZ31 AF33:AZ33 AF35:AZ35 AF37:AZ37 AF39:AZ39 AF41:AZ41 AF43:AZ43 AF45:AZ45 AF47:AZ47 AF49:AZ49 AF51:AZ51 AF53:AZ53" xr:uid="{00000000-0002-0000-0300-000002000000}"/>
    <dataValidation imeMode="off" allowBlank="1" showInputMessage="1" showErrorMessage="1" sqref="Y52:AH52 T21 AV12 AS24:AT24 AA23:AB23 AV28:AW28 T29 Y56:AH56 Y32:AH32 Y34:AH34 Y36:AH36 Y38:AH38 Y40:AH40 Y42:AH42 Y44:AH44 T47 Y48:AH48 T51 Y50:AH50 AV56:AW60 T59 AV22:AW22 T57 Y22:AH22 AY52:AZ52 AI11:AI12 AY57:AY60 AA57:AN60 K11:W12 AY22:AZ22 AV24:AW24 Y26:AH26 AV26:AW26 AA27:AB27 AD27:AE27 Y30:AH30 AY30:AZ30 AY56:AZ56 AS56:AT56 T33 AY32:AZ32 AY34:AZ34 AS34:AT34 T37 AY36:AZ36 AY38:AZ38 AS38:AT38 AY40:AZ40 T41 AY42:AZ42 AS42:AT42 AY44:AZ44 AS44:AT44 Y46:AH46 AY46:AZ46 AY48:AZ48 AS48:AT48 AY50:AZ50 AS57:AS60 AS22:AT22 T27 AA21:AB21 AD21:AE21 AD23:AE23 T23 Y24:AH24 AY24:AZ24 AY26:AZ26 AS26:AT26 AA25:AB25 AD25:AE25 T25 Y28:AH28 AY28:AZ28 AS28:AT28 AS30:AT30 AA29:AB29 AD29:AE29 AV30:AW30 AV19:AW19 T31 AY19:AZ19 AS19:AT19 AS32:AT32 AA31:AB31 AD31:AE31 AV32:AW32 AA33:AB33 T35 AD33:AE33 AV34:AW34 AS36:AT36 AA35:AB35 AD35:AE35 AV36:AW36 AA37:AB37 AD37:AE37 T39 AV38:AW38 AS40:AT40 AA39:AB39 AD39:AE39 AV40:AW40 AA41:AB41 AD41:AE41 AV42:AW42 T43 T45 AA43:AB43 AD43:AE43 AV44:AW44 AS46:AT46 AA45:AB45 AD45:AE45 AV46:AW46 AA47:AB47 T49 AD47:AE47 AV48:AW48 AS50:AT50 AA49:AB49 AD49:AE49 AV50:AW50 AS52:AT52 T53 AA51:AB51 AD51:AE51 AV52:AW52 AA55:AB55 AD55:AE55 T55 Y54:AH54 AY54:AZ54 AS54:AT54 AA53:AB53 AD53:AE53 AV54:AW54" xr:uid="{00000000-0002-0000-0300-000003000000}"/>
    <dataValidation type="list" showInputMessage="1" showErrorMessage="1" sqref="N21:Q56" xr:uid="{00000000-0002-0000-0300-000004000000}">
      <formula1>会費</formula1>
    </dataValidation>
    <dataValidation type="textLength" imeMode="off" operator="equal" allowBlank="1" showInputMessage="1" showErrorMessage="1" error="３桁の郵便番号を入力してください。" sqref="AJ9:AL9" xr:uid="{00000000-0002-0000-0300-000005000000}">
      <formula1>3</formula1>
    </dataValidation>
    <dataValidation type="textLength" imeMode="off" operator="equal" allowBlank="1" showInputMessage="1" showErrorMessage="1" error="４桁の郵便番号を入力してください。" sqref="AN9:AP9" xr:uid="{00000000-0002-0000-0300-000006000000}">
      <formula1>4</formula1>
    </dataValidation>
    <dataValidation type="list" imeMode="off" allowBlank="1" showInputMessage="1" showErrorMessage="1" error="パソコン・メールアドレスの『ドメイン名』が正しくありません。" sqref="Y11:AD11" xr:uid="{00000000-0002-0000-0300-000007000000}">
      <formula1>ＰＣドメイン候補</formula1>
    </dataValidation>
    <dataValidation type="list" imeMode="off" allowBlank="1" showInputMessage="1" showErrorMessage="1" sqref="Y12:AD12" xr:uid="{00000000-0002-0000-0300-000008000000}">
      <formula1>携帯ドメイン候補</formula1>
    </dataValidation>
    <dataValidation type="list" imeMode="off" allowBlank="1" showInputMessage="1" showErrorMessage="1" sqref="AJ22:AP22 AJ24:AP24 AJ26:AP26 AJ28:AP28 AJ30:AP30 AJ56:AP56 AJ32:AP32 AJ34:AP34 AJ36:AP36 AJ38:AP38 AJ40:AP40 AJ42:AP42 AJ44:AP44 AJ46:AP46 AJ48:AP48 AJ50:AP50 AJ52:AP52 AJ54:AP54" xr:uid="{00000000-0002-0000-0300-000009000000}">
      <formula1>ＰＣ携帯ドメイン候補</formula1>
    </dataValidation>
    <dataValidation type="list" allowBlank="1" showInputMessage="1" showErrorMessage="1" sqref="N18:Q19" xr:uid="{00000000-0002-0000-0300-00000A000000}">
      <formula1>会費</formula1>
    </dataValidation>
    <dataValidation type="list" allowBlank="1" showErrorMessage="1" sqref="R18:S19 R21:S56" xr:uid="{00000000-0002-0000-0300-00000B000000}">
      <formula1>JDVA会員登録状況</formula1>
    </dataValidation>
    <dataValidation type="list" allowBlank="1" showErrorMessage="1" sqref="U8:Z8" xr:uid="{00000000-0002-0000-0300-00000C000000}">
      <formula1>県名</formula1>
    </dataValidation>
  </dataValidations>
  <pageMargins left="0.31496062992125984" right="0.11811023622047245" top="0.35433070866141736" bottom="0.19685039370078741" header="0.31496062992125984" footer="0.11811023622047245"/>
  <pageSetup paperSize="9" scale="89" orientation="landscape" r:id="rId1"/>
  <headerFooter>
    <oddFooter>&amp;C&amp;P/&amp;N</oddFooter>
  </headerFooter>
  <rowBreaks count="1" manualBreakCount="1">
    <brk id="28" min="1" max="5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72" r:id="rId4" name="Check Box 72">
              <controlPr defaultSize="0" autoFill="0" autoLine="0" autoPict="0">
                <anchor moveWithCells="1" sizeWithCells="1">
                  <from>
                    <xdr:col>17</xdr:col>
                    <xdr:colOff>95250</xdr:colOff>
                    <xdr:row>56</xdr:row>
                    <xdr:rowOff>0</xdr:rowOff>
                  </from>
                  <to>
                    <xdr:col>19</xdr:col>
                    <xdr:colOff>0</xdr:colOff>
                    <xdr:row>56</xdr:row>
                    <xdr:rowOff>0</xdr:rowOff>
                  </to>
                </anchor>
              </controlPr>
            </control>
          </mc:Choice>
        </mc:AlternateContent>
        <mc:AlternateContent xmlns:mc="http://schemas.openxmlformats.org/markup-compatibility/2006">
          <mc:Choice Requires="x14">
            <control shapeId="25673" r:id="rId5" name="Check Box 73">
              <controlPr defaultSize="0" autoFill="0" autoLine="0" autoPict="0">
                <anchor moveWithCells="1" sizeWithCells="1">
                  <from>
                    <xdr:col>17</xdr:col>
                    <xdr:colOff>95250</xdr:colOff>
                    <xdr:row>56</xdr:row>
                    <xdr:rowOff>0</xdr:rowOff>
                  </from>
                  <to>
                    <xdr:col>19</xdr:col>
                    <xdr:colOff>0</xdr:colOff>
                    <xdr:row>56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1:Y65"/>
  <sheetViews>
    <sheetView showGridLines="0" showRowColHeaders="0" zoomScale="85" zoomScaleNormal="85" zoomScaleSheetLayoutView="85" workbookViewId="0">
      <selection activeCell="D6" sqref="D6:O6"/>
    </sheetView>
  </sheetViews>
  <sheetFormatPr defaultColWidth="4.5" defaultRowHeight="33" customHeight="1" x14ac:dyDescent="0.15"/>
  <cols>
    <col min="1" max="1" width="9" style="241" customWidth="1"/>
    <col min="2" max="2" width="5.25" style="241" customWidth="1"/>
    <col min="3" max="3" width="16.625" style="241" customWidth="1"/>
    <col min="4" max="4" width="15.125" style="241" customWidth="1"/>
    <col min="5" max="5" width="3.75" style="241" customWidth="1"/>
    <col min="6" max="6" width="6.625" style="241" customWidth="1"/>
    <col min="7" max="7" width="3.625" style="241" customWidth="1"/>
    <col min="8" max="8" width="6.625" style="241" customWidth="1"/>
    <col min="9" max="20" width="5.125" style="241" customWidth="1"/>
    <col min="21" max="255" width="9" style="241" customWidth="1"/>
    <col min="256" max="16384" width="4.5" style="241"/>
  </cols>
  <sheetData>
    <row r="1" spans="2:20" ht="41.25" x14ac:dyDescent="0.15">
      <c r="B1" s="882" t="s">
        <v>636</v>
      </c>
      <c r="C1" s="882"/>
      <c r="D1" s="882"/>
      <c r="E1" s="882"/>
      <c r="F1" s="882"/>
      <c r="G1" s="882"/>
      <c r="H1" s="882"/>
      <c r="I1" s="882"/>
      <c r="J1" s="882"/>
      <c r="K1" s="882"/>
      <c r="L1" s="882"/>
      <c r="M1" s="882"/>
      <c r="N1" s="882"/>
      <c r="O1" s="882"/>
      <c r="P1" s="882"/>
      <c r="Q1" s="882"/>
      <c r="R1" s="882"/>
      <c r="S1" s="882"/>
      <c r="T1" s="882"/>
    </row>
    <row r="2" spans="2:20" s="183" customFormat="1" ht="30" customHeight="1" x14ac:dyDescent="0.15">
      <c r="B2" s="890" t="s">
        <v>379</v>
      </c>
      <c r="C2" s="890"/>
      <c r="D2" s="890"/>
      <c r="E2" s="890"/>
      <c r="F2" s="890"/>
      <c r="G2" s="890"/>
      <c r="H2" s="890"/>
      <c r="I2" s="890"/>
      <c r="J2" s="890"/>
      <c r="K2" s="890"/>
      <c r="L2" s="890"/>
      <c r="M2" s="890"/>
      <c r="N2" s="890"/>
      <c r="O2" s="890"/>
      <c r="P2" s="890"/>
      <c r="Q2" s="890"/>
      <c r="R2" s="890"/>
      <c r="S2" s="890"/>
      <c r="T2" s="890"/>
    </row>
    <row r="3" spans="2:20" ht="14.25" x14ac:dyDescent="0.15"/>
    <row r="4" spans="2:20" ht="27.95" customHeight="1" x14ac:dyDescent="0.15">
      <c r="B4" s="242" t="s">
        <v>475</v>
      </c>
    </row>
    <row r="5" spans="2:20" ht="6" customHeight="1" x14ac:dyDescent="0.15">
      <c r="C5" s="889"/>
      <c r="D5" s="889"/>
      <c r="E5" s="889"/>
      <c r="F5" s="889"/>
      <c r="G5" s="889"/>
      <c r="H5" s="889"/>
    </row>
    <row r="6" spans="2:20" ht="32.1" customHeight="1" x14ac:dyDescent="0.15">
      <c r="C6" s="886" t="s">
        <v>70</v>
      </c>
      <c r="D6" s="858" t="str">
        <f>IF(参加者登録申込書!G6="","",参加者登録申込書!G6)</f>
        <v/>
      </c>
      <c r="E6" s="859"/>
      <c r="F6" s="859"/>
      <c r="G6" s="859"/>
      <c r="H6" s="859"/>
      <c r="I6" s="859"/>
      <c r="J6" s="859"/>
      <c r="K6" s="859"/>
      <c r="L6" s="859"/>
      <c r="M6" s="859"/>
      <c r="N6" s="859"/>
      <c r="O6" s="860"/>
      <c r="P6" s="896" t="s">
        <v>118</v>
      </c>
      <c r="Q6" s="897"/>
      <c r="R6" s="867" t="str">
        <f>IF(参加者登録申込書!G8="","",参加者登録申込書!G8)</f>
        <v/>
      </c>
      <c r="S6" s="868"/>
      <c r="T6" s="869"/>
    </row>
    <row r="7" spans="2:20" ht="32.1" customHeight="1" x14ac:dyDescent="0.15">
      <c r="C7" s="895"/>
      <c r="D7" s="243" t="s">
        <v>87</v>
      </c>
      <c r="E7" s="863" t="str">
        <f>IF(参加者登録申込書!M7="","",参加者登録申込書!M7)</f>
        <v/>
      </c>
      <c r="F7" s="864"/>
      <c r="G7" s="864"/>
      <c r="H7" s="864"/>
      <c r="I7" s="864"/>
      <c r="J7" s="864"/>
      <c r="K7" s="864"/>
      <c r="L7" s="864"/>
      <c r="M7" s="864"/>
      <c r="N7" s="864"/>
      <c r="O7" s="864"/>
      <c r="P7" s="864"/>
      <c r="Q7" s="864"/>
      <c r="R7" s="864"/>
      <c r="S7" s="864"/>
      <c r="T7" s="865"/>
    </row>
    <row r="8" spans="2:20" ht="32.1" customHeight="1" x14ac:dyDescent="0.15">
      <c r="C8" s="887"/>
      <c r="D8" s="244" t="s">
        <v>105</v>
      </c>
      <c r="E8" s="891" t="str">
        <f>IF(参加者登録申込書!AI6="","",参加者登録申込書!AI6)</f>
        <v/>
      </c>
      <c r="F8" s="892"/>
      <c r="G8" s="892"/>
      <c r="H8" s="892"/>
      <c r="I8" s="892"/>
      <c r="J8" s="892"/>
      <c r="K8" s="892"/>
      <c r="L8" s="892"/>
      <c r="M8" s="892"/>
      <c r="N8" s="892"/>
      <c r="O8" s="892"/>
      <c r="P8" s="892"/>
      <c r="Q8" s="892"/>
      <c r="R8" s="892"/>
      <c r="S8" s="892"/>
      <c r="T8" s="893"/>
    </row>
    <row r="9" spans="2:20" ht="32.1" customHeight="1" x14ac:dyDescent="0.15">
      <c r="C9" s="883" t="s">
        <v>71</v>
      </c>
      <c r="D9" s="886" t="s">
        <v>80</v>
      </c>
      <c r="E9" s="245" t="s">
        <v>72</v>
      </c>
      <c r="F9" s="246" t="str">
        <f>IF(参加者登録申込書!AJ9="","",参加者登録申込書!AJ9)</f>
        <v/>
      </c>
      <c r="G9" s="247" t="s">
        <v>73</v>
      </c>
      <c r="H9" s="248" t="str">
        <f>IF(参加者登録申込書!AN9="","",参加者登録申込書!AN9)</f>
        <v/>
      </c>
      <c r="I9" s="884" t="s">
        <v>238</v>
      </c>
      <c r="J9" s="885"/>
      <c r="K9" s="885"/>
      <c r="L9" s="888" t="str">
        <f>IF(参加者登録申込書!U8="","",参加者登録申込書!U8)</f>
        <v/>
      </c>
      <c r="M9" s="868"/>
      <c r="N9" s="868"/>
      <c r="O9" s="868"/>
      <c r="P9" s="249" t="s">
        <v>296</v>
      </c>
      <c r="Q9" s="861" t="str">
        <f>IF(L9="","",VLOOKUP(L9,MY_MATRIX!H4:I50,2,0))</f>
        <v/>
      </c>
      <c r="R9" s="861"/>
      <c r="S9" s="861"/>
      <c r="T9" s="250" t="s">
        <v>297</v>
      </c>
    </row>
    <row r="10" spans="2:20" ht="32.1" customHeight="1" x14ac:dyDescent="0.15">
      <c r="C10" s="883"/>
      <c r="D10" s="887"/>
      <c r="E10" s="251"/>
      <c r="F10" s="870" t="str">
        <f>IF(参加者登録申込書!AJ10="","",参加者登録申込書!AJ10 &amp; "　" &amp; 参加者登録申込書!AJ11)</f>
        <v/>
      </c>
      <c r="G10" s="870"/>
      <c r="H10" s="870"/>
      <c r="I10" s="870"/>
      <c r="J10" s="870"/>
      <c r="K10" s="870"/>
      <c r="L10" s="870"/>
      <c r="M10" s="870"/>
      <c r="N10" s="870"/>
      <c r="O10" s="870"/>
      <c r="P10" s="870"/>
      <c r="Q10" s="870"/>
      <c r="R10" s="870"/>
      <c r="S10" s="870"/>
      <c r="T10" s="871"/>
    </row>
    <row r="11" spans="2:20" ht="32.1" customHeight="1" x14ac:dyDescent="0.15">
      <c r="C11" s="883"/>
      <c r="D11" s="252" t="s">
        <v>79</v>
      </c>
      <c r="E11" s="253"/>
      <c r="F11" s="872" t="str">
        <f>IF(AND(参加者登録申込書!G10&lt;&gt;"",参加者登録申込書!M10&lt;&gt;""),参加者登録申込書!G10&amp;"　"&amp;参加者登録申込書!M10,"")</f>
        <v/>
      </c>
      <c r="G11" s="873"/>
      <c r="H11" s="873"/>
      <c r="I11" s="873"/>
      <c r="J11" s="873"/>
      <c r="K11" s="873"/>
      <c r="L11" s="873"/>
      <c r="M11" s="873"/>
      <c r="N11" s="873"/>
      <c r="O11" s="873"/>
      <c r="P11" s="873"/>
      <c r="Q11" s="873"/>
      <c r="R11" s="873"/>
      <c r="S11" s="873"/>
      <c r="T11" s="874"/>
    </row>
    <row r="12" spans="2:20" ht="32.1" customHeight="1" x14ac:dyDescent="0.15">
      <c r="C12" s="883"/>
      <c r="D12" s="254" t="s">
        <v>577</v>
      </c>
      <c r="E12" s="255"/>
      <c r="F12" s="872" t="str">
        <f>IF(OR(TRIM(参加者登録申込書!K11)="",TRIM(参加者登録申込書!Y11)=""),"",TRIM(参加者登録申込書!K11)&amp;"@"&amp;TRIM(参加者登録申込書!Y11))</f>
        <v/>
      </c>
      <c r="G12" s="875"/>
      <c r="H12" s="875"/>
      <c r="I12" s="875"/>
      <c r="J12" s="875"/>
      <c r="K12" s="875"/>
      <c r="L12" s="875"/>
      <c r="M12" s="875"/>
      <c r="N12" s="875"/>
      <c r="O12" s="875"/>
      <c r="P12" s="875"/>
      <c r="Q12" s="875"/>
      <c r="R12" s="875"/>
      <c r="S12" s="875"/>
      <c r="T12" s="876"/>
    </row>
    <row r="13" spans="2:20" ht="32.1" customHeight="1" x14ac:dyDescent="0.15">
      <c r="C13" s="883"/>
      <c r="D13" s="254" t="s">
        <v>578</v>
      </c>
      <c r="E13" s="255"/>
      <c r="F13" s="872" t="str">
        <f>IF(OR(TRIM(参加者登録申込書!K12)="",TRIM(参加者登録申込書!Y12)=""),"",TRIM(参加者登録申込書!K12)&amp;"@"&amp;TRIM(参加者登録申込書!Y12))</f>
        <v/>
      </c>
      <c r="G13" s="875"/>
      <c r="H13" s="875"/>
      <c r="I13" s="875"/>
      <c r="J13" s="875"/>
      <c r="K13" s="875"/>
      <c r="L13" s="875"/>
      <c r="M13" s="875"/>
      <c r="N13" s="875"/>
      <c r="O13" s="875"/>
      <c r="P13" s="875"/>
      <c r="Q13" s="875"/>
      <c r="R13" s="875"/>
      <c r="S13" s="875"/>
      <c r="T13" s="876"/>
    </row>
    <row r="14" spans="2:20" ht="27.95" customHeight="1" x14ac:dyDescent="0.15">
      <c r="C14" s="883"/>
      <c r="D14" s="898" t="s">
        <v>579</v>
      </c>
      <c r="E14" s="899"/>
      <c r="F14" s="899"/>
      <c r="G14" s="899"/>
      <c r="H14" s="899"/>
      <c r="I14" s="899"/>
      <c r="J14" s="899"/>
      <c r="K14" s="899"/>
      <c r="L14" s="899"/>
      <c r="M14" s="899"/>
      <c r="N14" s="899"/>
      <c r="O14" s="899"/>
      <c r="P14" s="899"/>
      <c r="Q14" s="899"/>
      <c r="R14" s="899"/>
      <c r="S14" s="899"/>
      <c r="T14" s="900"/>
    </row>
    <row r="15" spans="2:20" ht="24" hidden="1" customHeight="1" x14ac:dyDescent="0.15">
      <c r="C15" s="256"/>
      <c r="D15" s="256"/>
      <c r="E15" s="256"/>
      <c r="F15" s="256"/>
      <c r="G15" s="256"/>
      <c r="H15" s="256"/>
      <c r="I15" s="256"/>
      <c r="J15" s="256"/>
      <c r="K15" s="256"/>
      <c r="L15" s="256"/>
      <c r="M15" s="256"/>
      <c r="N15" s="256"/>
      <c r="O15" s="256"/>
      <c r="P15" s="256"/>
      <c r="Q15" s="256"/>
      <c r="R15" s="256"/>
      <c r="S15" s="256"/>
      <c r="T15" s="256"/>
    </row>
    <row r="16" spans="2:20" ht="24" hidden="1" customHeight="1" x14ac:dyDescent="0.15">
      <c r="C16" s="257"/>
      <c r="D16" s="257"/>
      <c r="E16" s="257"/>
      <c r="F16" s="257"/>
      <c r="G16" s="257"/>
      <c r="H16" s="257"/>
      <c r="I16" s="257"/>
      <c r="J16" s="257"/>
      <c r="K16" s="257"/>
      <c r="L16" s="257"/>
      <c r="M16" s="257"/>
      <c r="N16" s="257"/>
      <c r="O16" s="257"/>
      <c r="P16" s="257"/>
      <c r="Q16" s="257"/>
      <c r="R16" s="257"/>
      <c r="S16" s="257"/>
      <c r="T16" s="257"/>
    </row>
    <row r="17" spans="2:20" ht="24" hidden="1" customHeight="1" x14ac:dyDescent="0.15">
      <c r="C17" s="257"/>
      <c r="D17" s="257"/>
      <c r="E17" s="257"/>
      <c r="F17" s="257"/>
      <c r="G17" s="257"/>
      <c r="H17" s="257"/>
      <c r="I17" s="257"/>
      <c r="J17" s="257"/>
      <c r="K17" s="257"/>
      <c r="L17" s="257"/>
      <c r="M17" s="257"/>
      <c r="N17" s="257"/>
      <c r="O17" s="257"/>
      <c r="P17" s="257"/>
      <c r="Q17" s="257"/>
      <c r="R17" s="257"/>
      <c r="S17" s="257"/>
      <c r="T17" s="257"/>
    </row>
    <row r="18" spans="2:20" ht="24" hidden="1" customHeight="1" x14ac:dyDescent="0.15">
      <c r="C18" s="257"/>
      <c r="D18" s="257"/>
      <c r="E18" s="257"/>
      <c r="F18" s="257"/>
      <c r="G18" s="257"/>
      <c r="H18" s="257"/>
      <c r="I18" s="257"/>
      <c r="J18" s="257"/>
      <c r="K18" s="257"/>
      <c r="L18" s="257"/>
      <c r="M18" s="257"/>
      <c r="N18" s="257"/>
      <c r="O18" s="257"/>
      <c r="P18" s="257"/>
      <c r="Q18" s="257"/>
      <c r="R18" s="257"/>
      <c r="S18" s="257"/>
      <c r="T18" s="257"/>
    </row>
    <row r="19" spans="2:20" ht="24" hidden="1" customHeight="1" x14ac:dyDescent="0.15">
      <c r="C19" s="257"/>
      <c r="D19" s="257"/>
      <c r="E19" s="257"/>
      <c r="F19" s="257"/>
      <c r="G19" s="257"/>
      <c r="H19" s="257"/>
      <c r="I19" s="257"/>
      <c r="J19" s="257"/>
      <c r="K19" s="257"/>
      <c r="L19" s="257"/>
      <c r="M19" s="257"/>
      <c r="N19" s="257"/>
      <c r="O19" s="257"/>
      <c r="P19" s="257"/>
      <c r="Q19" s="257"/>
      <c r="R19" s="257"/>
      <c r="S19" s="257"/>
      <c r="T19" s="257"/>
    </row>
    <row r="20" spans="2:20" ht="24" hidden="1" customHeight="1" x14ac:dyDescent="0.15">
      <c r="C20" s="257"/>
      <c r="D20" s="257"/>
      <c r="E20" s="257"/>
      <c r="F20" s="257"/>
      <c r="G20" s="257"/>
      <c r="H20" s="257"/>
      <c r="I20" s="257"/>
      <c r="J20" s="257"/>
      <c r="K20" s="257"/>
      <c r="L20" s="257"/>
      <c r="M20" s="257"/>
      <c r="N20" s="257"/>
      <c r="O20" s="257"/>
      <c r="P20" s="257"/>
      <c r="Q20" s="257"/>
      <c r="R20" s="257"/>
      <c r="S20" s="257"/>
      <c r="T20" s="257"/>
    </row>
    <row r="21" spans="2:20" ht="32.1" customHeight="1" x14ac:dyDescent="0.15">
      <c r="C21" s="894" t="s">
        <v>74</v>
      </c>
      <c r="D21" s="877" t="str">
        <f>IF(TRIM(②選手登録名簿!E6)="","",TRIM(②選手登録名簿!E6))</f>
        <v/>
      </c>
      <c r="E21" s="877"/>
      <c r="F21" s="877"/>
      <c r="G21" s="877"/>
      <c r="H21" s="877"/>
      <c r="I21" s="877"/>
      <c r="J21" s="877"/>
      <c r="K21" s="877"/>
      <c r="L21" s="877"/>
      <c r="M21" s="877"/>
      <c r="N21" s="877"/>
      <c r="O21" s="877"/>
      <c r="P21" s="877"/>
      <c r="Q21" s="877"/>
      <c r="R21" s="877"/>
      <c r="S21" s="877"/>
      <c r="T21" s="877"/>
    </row>
    <row r="22" spans="2:20" ht="32.1" customHeight="1" x14ac:dyDescent="0.15">
      <c r="C22" s="894"/>
      <c r="D22" s="862" t="str">
        <f>IF(TRIM(②選手登録名簿!E7)="","",TRIM(②選手登録名簿!E7))</f>
        <v/>
      </c>
      <c r="E22" s="862"/>
      <c r="F22" s="862"/>
      <c r="G22" s="862"/>
      <c r="H22" s="862"/>
      <c r="I22" s="862"/>
      <c r="J22" s="862"/>
      <c r="K22" s="862"/>
      <c r="L22" s="862"/>
      <c r="M22" s="862"/>
      <c r="N22" s="862"/>
      <c r="O22" s="862"/>
      <c r="P22" s="862"/>
      <c r="Q22" s="862"/>
      <c r="R22" s="862"/>
      <c r="S22" s="862"/>
      <c r="T22" s="862"/>
    </row>
    <row r="23" spans="2:20" ht="32.1" customHeight="1" x14ac:dyDescent="0.15">
      <c r="C23" s="894"/>
      <c r="D23" s="862" t="str">
        <f>IF(TRIM(②選手登録名簿!E8)="","",TRIM(②選手登録名簿!E8))</f>
        <v/>
      </c>
      <c r="E23" s="862"/>
      <c r="F23" s="862"/>
      <c r="G23" s="862"/>
      <c r="H23" s="862"/>
      <c r="I23" s="862"/>
      <c r="J23" s="862"/>
      <c r="K23" s="862"/>
      <c r="L23" s="862"/>
      <c r="M23" s="862"/>
      <c r="N23" s="862"/>
      <c r="O23" s="862"/>
      <c r="P23" s="862"/>
      <c r="Q23" s="862"/>
      <c r="R23" s="862"/>
      <c r="S23" s="862"/>
      <c r="T23" s="862"/>
    </row>
    <row r="24" spans="2:20" ht="32.1" customHeight="1" x14ac:dyDescent="0.15">
      <c r="C24" s="894"/>
      <c r="D24" s="862" t="str">
        <f>IF(TRIM(②選手登録名簿!E9)="","",TRIM(②選手登録名簿!E9))</f>
        <v/>
      </c>
      <c r="E24" s="862"/>
      <c r="F24" s="862"/>
      <c r="G24" s="862"/>
      <c r="H24" s="862"/>
      <c r="I24" s="862"/>
      <c r="J24" s="862"/>
      <c r="K24" s="862"/>
      <c r="L24" s="862"/>
      <c r="M24" s="862"/>
      <c r="N24" s="862"/>
      <c r="O24" s="862"/>
      <c r="P24" s="862"/>
      <c r="Q24" s="862"/>
      <c r="R24" s="862"/>
      <c r="S24" s="862"/>
      <c r="T24" s="862"/>
    </row>
    <row r="25" spans="2:20" ht="32.1" customHeight="1" x14ac:dyDescent="0.15">
      <c r="C25" s="894"/>
      <c r="D25" s="866" t="str">
        <f>IF(TRIM(②選手登録名簿!E10)="","",TRIM(②選手登録名簿!E10))</f>
        <v/>
      </c>
      <c r="E25" s="866"/>
      <c r="F25" s="866"/>
      <c r="G25" s="866"/>
      <c r="H25" s="866"/>
      <c r="I25" s="866"/>
      <c r="J25" s="866"/>
      <c r="K25" s="866"/>
      <c r="L25" s="866"/>
      <c r="M25" s="866"/>
      <c r="N25" s="866"/>
      <c r="O25" s="866"/>
      <c r="P25" s="866"/>
      <c r="Q25" s="866"/>
      <c r="R25" s="866"/>
      <c r="S25" s="866"/>
      <c r="T25" s="866"/>
    </row>
    <row r="26" spans="2:20" ht="14.25" x14ac:dyDescent="0.15"/>
    <row r="27" spans="2:20" ht="14.25" hidden="1" x14ac:dyDescent="0.15"/>
    <row r="28" spans="2:20" ht="14.25" hidden="1" x14ac:dyDescent="0.15"/>
    <row r="29" spans="2:20" ht="14.25" hidden="1" x14ac:dyDescent="0.15"/>
    <row r="30" spans="2:20" ht="14.25" hidden="1" x14ac:dyDescent="0.15"/>
    <row r="31" spans="2:20" ht="27.95" hidden="1" customHeight="1" x14ac:dyDescent="0.15">
      <c r="B31" s="242" t="s">
        <v>594</v>
      </c>
      <c r="D31" s="258"/>
    </row>
    <row r="32" spans="2:20" ht="5.0999999999999996" hidden="1" customHeight="1" x14ac:dyDescent="0.15"/>
    <row r="33" spans="2:25" ht="24" hidden="1" customHeight="1" x14ac:dyDescent="0.15">
      <c r="C33" s="259" t="s">
        <v>82</v>
      </c>
      <c r="D33" s="883" t="s">
        <v>81</v>
      </c>
      <c r="E33" s="883"/>
      <c r="F33" s="883"/>
      <c r="G33" s="883"/>
      <c r="H33" s="883"/>
      <c r="I33" s="883"/>
      <c r="J33" s="883"/>
      <c r="K33" s="883"/>
      <c r="L33" s="883"/>
      <c r="M33" s="883" t="s">
        <v>383</v>
      </c>
      <c r="N33" s="883"/>
      <c r="O33" s="883"/>
      <c r="P33" s="883"/>
      <c r="Q33" s="883" t="s">
        <v>86</v>
      </c>
      <c r="R33" s="883"/>
      <c r="S33" s="883"/>
      <c r="T33" s="883"/>
    </row>
    <row r="34" spans="2:25" ht="27.95" hidden="1" customHeight="1" x14ac:dyDescent="0.15">
      <c r="C34" s="886" t="s">
        <v>469</v>
      </c>
      <c r="D34" s="935" t="s">
        <v>407</v>
      </c>
      <c r="E34" s="935"/>
      <c r="F34" s="935"/>
      <c r="G34" s="935"/>
      <c r="H34" s="936"/>
      <c r="I34" s="919">
        <v>0</v>
      </c>
      <c r="J34" s="920"/>
      <c r="K34" s="920"/>
      <c r="L34" s="260" t="s">
        <v>78</v>
      </c>
      <c r="M34" s="942">
        <f>IF(1,COUNTIF(参加者登録申込書!$N$21:$Q$56,"*DEAF*"), COUNTIF(参加者登録申込書!CO21:CO60,I34))</f>
        <v>0</v>
      </c>
      <c r="N34" s="943"/>
      <c r="O34" s="943"/>
      <c r="P34" s="260" t="s">
        <v>83</v>
      </c>
      <c r="Q34" s="880">
        <f>I34*M34</f>
        <v>0</v>
      </c>
      <c r="R34" s="881"/>
      <c r="S34" s="881"/>
      <c r="T34" s="260" t="s">
        <v>78</v>
      </c>
      <c r="Y34" s="241" t="s">
        <v>606</v>
      </c>
    </row>
    <row r="35" spans="2:25" ht="27.95" hidden="1" customHeight="1" x14ac:dyDescent="0.15">
      <c r="C35" s="895"/>
      <c r="D35" s="937" t="s">
        <v>468</v>
      </c>
      <c r="E35" s="937"/>
      <c r="F35" s="937"/>
      <c r="G35" s="937"/>
      <c r="H35" s="938"/>
      <c r="I35" s="905">
        <v>0</v>
      </c>
      <c r="J35" s="906"/>
      <c r="K35" s="906"/>
      <c r="L35" s="261" t="s">
        <v>78</v>
      </c>
      <c r="M35" s="944">
        <f>IF(1,COUNTIF(参加者登録申込書!$N$21:$Q$56,"*聴者*"),COUNTIF(参加者登録申込書!CO21:CO60,I35))</f>
        <v>0</v>
      </c>
      <c r="N35" s="945"/>
      <c r="O35" s="945"/>
      <c r="P35" s="261" t="s">
        <v>477</v>
      </c>
      <c r="Q35" s="909">
        <f>I35*M35</f>
        <v>0</v>
      </c>
      <c r="R35" s="910"/>
      <c r="S35" s="910"/>
      <c r="T35" s="261" t="s">
        <v>78</v>
      </c>
      <c r="Y35" s="241" t="s">
        <v>606</v>
      </c>
    </row>
    <row r="36" spans="2:25" ht="27.95" hidden="1" customHeight="1" x14ac:dyDescent="0.15">
      <c r="C36" s="887"/>
      <c r="D36" s="946" t="s">
        <v>408</v>
      </c>
      <c r="E36" s="946"/>
      <c r="F36" s="946"/>
      <c r="G36" s="946"/>
      <c r="H36" s="947"/>
      <c r="I36" s="878">
        <v>0</v>
      </c>
      <c r="J36" s="879"/>
      <c r="K36" s="879"/>
      <c r="L36" s="262" t="s">
        <v>78</v>
      </c>
      <c r="M36" s="948">
        <f>IF(1,COUNTIF(参加者登録申込書!$N$21:$Q$56,"*高校生以下*"),COUNTIF(参加者登録申込書!CO21:CO60,I36))</f>
        <v>0</v>
      </c>
      <c r="N36" s="949"/>
      <c r="O36" s="949"/>
      <c r="P36" s="262" t="s">
        <v>477</v>
      </c>
      <c r="Q36" s="911">
        <f>I36*M36</f>
        <v>0</v>
      </c>
      <c r="R36" s="912"/>
      <c r="S36" s="912"/>
      <c r="T36" s="262" t="s">
        <v>78</v>
      </c>
      <c r="Y36" s="241" t="s">
        <v>606</v>
      </c>
    </row>
    <row r="37" spans="2:25" ht="27.95" hidden="1" customHeight="1" x14ac:dyDescent="0.15">
      <c r="C37" s="886" t="s">
        <v>466</v>
      </c>
      <c r="D37" s="263"/>
      <c r="E37" s="950" t="s">
        <v>494</v>
      </c>
      <c r="F37" s="950"/>
      <c r="G37" s="950"/>
      <c r="H37" s="951"/>
      <c r="I37" s="851">
        <v>0</v>
      </c>
      <c r="J37" s="852"/>
      <c r="K37" s="852"/>
      <c r="L37" s="264" t="s">
        <v>401</v>
      </c>
      <c r="M37" s="851">
        <f>COUNTIF(参加者登録申込書!CP21:CP60,E37)</f>
        <v>0</v>
      </c>
      <c r="N37" s="852"/>
      <c r="O37" s="852"/>
      <c r="P37" s="265" t="s">
        <v>477</v>
      </c>
      <c r="Q37" s="853"/>
      <c r="R37" s="854"/>
      <c r="S37" s="854"/>
      <c r="T37" s="855"/>
    </row>
    <row r="38" spans="2:25" ht="27.95" hidden="1" customHeight="1" x14ac:dyDescent="0.15">
      <c r="C38" s="887"/>
      <c r="D38" s="266"/>
      <c r="E38" s="856" t="s">
        <v>495</v>
      </c>
      <c r="F38" s="856"/>
      <c r="G38" s="856"/>
      <c r="H38" s="857"/>
      <c r="I38" s="917">
        <v>0</v>
      </c>
      <c r="J38" s="918"/>
      <c r="K38" s="918"/>
      <c r="L38" s="267" t="s">
        <v>401</v>
      </c>
      <c r="M38" s="917">
        <f>COUNTIF(参加者登録申込書!CP21:CP60,E38)</f>
        <v>0</v>
      </c>
      <c r="N38" s="918"/>
      <c r="O38" s="918"/>
      <c r="P38" s="268" t="s">
        <v>477</v>
      </c>
      <c r="Q38" s="939"/>
      <c r="R38" s="940"/>
      <c r="S38" s="940"/>
      <c r="T38" s="941"/>
    </row>
    <row r="39" spans="2:25" ht="27.95" hidden="1" customHeight="1" x14ac:dyDescent="0.15">
      <c r="C39" s="350" t="s">
        <v>592</v>
      </c>
      <c r="D39" s="269"/>
      <c r="E39" s="269"/>
      <c r="F39" s="269"/>
      <c r="G39" s="269"/>
      <c r="H39" s="269"/>
      <c r="I39" s="269"/>
      <c r="J39" s="269"/>
      <c r="K39" s="269"/>
      <c r="L39" s="269"/>
      <c r="M39" s="269"/>
      <c r="N39" s="269"/>
      <c r="O39" s="269"/>
      <c r="P39" s="269"/>
      <c r="Q39" s="901">
        <f>Q34+Q35+Q36</f>
        <v>0</v>
      </c>
      <c r="R39" s="902"/>
      <c r="S39" s="902"/>
      <c r="T39" s="349" t="s">
        <v>591</v>
      </c>
    </row>
    <row r="40" spans="2:25" ht="27.95" hidden="1" customHeight="1" x14ac:dyDescent="0.15">
      <c r="C40" s="270"/>
      <c r="L40" s="271" t="s">
        <v>480</v>
      </c>
      <c r="M40" s="908">
        <f>SUM(M34:O38)</f>
        <v>0</v>
      </c>
      <c r="N40" s="908"/>
      <c r="O40" s="908"/>
      <c r="P40" s="272" t="s">
        <v>478</v>
      </c>
      <c r="Q40" s="934">
        <f>M34+M35+M36</f>
        <v>0</v>
      </c>
      <c r="R40" s="934"/>
      <c r="S40" s="934"/>
      <c r="T40" s="934"/>
    </row>
    <row r="41" spans="2:25" ht="5.0999999999999996" hidden="1" customHeight="1" x14ac:dyDescent="0.15">
      <c r="C41" s="270"/>
      <c r="L41" s="271"/>
      <c r="M41" s="273"/>
      <c r="N41" s="273"/>
      <c r="O41" s="273"/>
      <c r="P41" s="272"/>
      <c r="Q41" s="274"/>
      <c r="R41" s="274"/>
      <c r="S41" s="274"/>
      <c r="T41" s="274"/>
    </row>
    <row r="42" spans="2:25" ht="27.95" customHeight="1" x14ac:dyDescent="0.15">
      <c r="B42" s="242" t="s">
        <v>476</v>
      </c>
      <c r="C42" s="270"/>
      <c r="I42" s="275"/>
      <c r="J42" s="275"/>
      <c r="K42" s="275"/>
      <c r="L42" s="271"/>
      <c r="M42" s="908"/>
      <c r="N42" s="908"/>
      <c r="O42" s="908"/>
      <c r="P42" s="272"/>
      <c r="Q42" s="933"/>
      <c r="R42" s="933"/>
      <c r="S42" s="933"/>
      <c r="T42" s="933"/>
    </row>
    <row r="43" spans="2:25" ht="27.95" hidden="1" customHeight="1" x14ac:dyDescent="0.15">
      <c r="C43" s="952" t="s">
        <v>474</v>
      </c>
      <c r="D43" s="883" t="s">
        <v>472</v>
      </c>
      <c r="E43" s="276"/>
      <c r="F43" s="929" t="s">
        <v>470</v>
      </c>
      <c r="G43" s="929"/>
      <c r="H43" s="930"/>
      <c r="I43" s="919">
        <v>0</v>
      </c>
      <c r="J43" s="920"/>
      <c r="K43" s="920"/>
      <c r="L43" s="260" t="s">
        <v>78</v>
      </c>
      <c r="M43" s="880">
        <f>COUNTIF(②選手登録名簿!AR22:AR39,"=11")</f>
        <v>0</v>
      </c>
      <c r="N43" s="881"/>
      <c r="O43" s="881"/>
      <c r="P43" s="260" t="s">
        <v>83</v>
      </c>
      <c r="Q43" s="880">
        <f t="shared" ref="Q43:Q50" si="0">I43*M43</f>
        <v>0</v>
      </c>
      <c r="R43" s="881"/>
      <c r="S43" s="881"/>
      <c r="T43" s="260" t="s">
        <v>78</v>
      </c>
    </row>
    <row r="44" spans="2:25" ht="27.95" hidden="1" customHeight="1" x14ac:dyDescent="0.15">
      <c r="C44" s="895"/>
      <c r="D44" s="883"/>
      <c r="E44" s="277"/>
      <c r="F44" s="931" t="s">
        <v>473</v>
      </c>
      <c r="G44" s="931"/>
      <c r="H44" s="932"/>
      <c r="I44" s="878">
        <v>0</v>
      </c>
      <c r="J44" s="879"/>
      <c r="K44" s="879"/>
      <c r="L44" s="262" t="s">
        <v>78</v>
      </c>
      <c r="M44" s="911">
        <f>COUNTIF(②選手登録名簿!AR22:AR39,"=12")</f>
        <v>0</v>
      </c>
      <c r="N44" s="912"/>
      <c r="O44" s="912"/>
      <c r="P44" s="262" t="s">
        <v>84</v>
      </c>
      <c r="Q44" s="911">
        <f t="shared" si="0"/>
        <v>0</v>
      </c>
      <c r="R44" s="912"/>
      <c r="S44" s="912"/>
      <c r="T44" s="262" t="s">
        <v>78</v>
      </c>
    </row>
    <row r="45" spans="2:25" ht="27.95" hidden="1" customHeight="1" x14ac:dyDescent="0.15">
      <c r="C45" s="895"/>
      <c r="D45" s="883" t="s">
        <v>409</v>
      </c>
      <c r="E45" s="953" t="s">
        <v>470</v>
      </c>
      <c r="F45" s="953"/>
      <c r="G45" s="953"/>
      <c r="H45" s="953"/>
      <c r="I45" s="919">
        <v>0</v>
      </c>
      <c r="J45" s="920"/>
      <c r="K45" s="920"/>
      <c r="L45" s="260" t="s">
        <v>78</v>
      </c>
      <c r="M45" s="880">
        <f>COUNTIF(②選手登録名簿!AR22:AR39,"=13")</f>
        <v>0</v>
      </c>
      <c r="N45" s="881"/>
      <c r="O45" s="881"/>
      <c r="P45" s="260" t="s">
        <v>83</v>
      </c>
      <c r="Q45" s="880">
        <f t="shared" si="0"/>
        <v>0</v>
      </c>
      <c r="R45" s="881"/>
      <c r="S45" s="881"/>
      <c r="T45" s="260" t="s">
        <v>78</v>
      </c>
    </row>
    <row r="46" spans="2:25" ht="27.95" hidden="1" customHeight="1" x14ac:dyDescent="0.15">
      <c r="C46" s="887"/>
      <c r="D46" s="883"/>
      <c r="E46" s="954" t="s">
        <v>471</v>
      </c>
      <c r="F46" s="954"/>
      <c r="G46" s="954"/>
      <c r="H46" s="954"/>
      <c r="I46" s="878">
        <v>0</v>
      </c>
      <c r="J46" s="879"/>
      <c r="K46" s="879"/>
      <c r="L46" s="262" t="s">
        <v>78</v>
      </c>
      <c r="M46" s="911">
        <f>COUNTIF(②選手登録名簿!AR22:AR39,"=14")</f>
        <v>0</v>
      </c>
      <c r="N46" s="912"/>
      <c r="O46" s="912"/>
      <c r="P46" s="262" t="s">
        <v>83</v>
      </c>
      <c r="Q46" s="911">
        <f t="shared" si="0"/>
        <v>0</v>
      </c>
      <c r="R46" s="912"/>
      <c r="S46" s="912"/>
      <c r="T46" s="262" t="s">
        <v>78</v>
      </c>
    </row>
    <row r="47" spans="2:25" ht="27.95" customHeight="1" x14ac:dyDescent="0.15">
      <c r="C47" s="952"/>
      <c r="D47" s="883" t="s">
        <v>472</v>
      </c>
      <c r="E47" s="276"/>
      <c r="F47" s="929" t="s">
        <v>470</v>
      </c>
      <c r="G47" s="929"/>
      <c r="H47" s="930"/>
      <c r="I47" s="919">
        <v>8000</v>
      </c>
      <c r="J47" s="920"/>
      <c r="K47" s="920"/>
      <c r="L47" s="260" t="s">
        <v>78</v>
      </c>
      <c r="M47" s="880">
        <f>COUNTIF(②選手登録名簿!AR22:AR39,"=1")</f>
        <v>0</v>
      </c>
      <c r="N47" s="881"/>
      <c r="O47" s="881"/>
      <c r="P47" s="260" t="s">
        <v>83</v>
      </c>
      <c r="Q47" s="880">
        <f t="shared" si="0"/>
        <v>0</v>
      </c>
      <c r="R47" s="881"/>
      <c r="S47" s="881"/>
      <c r="T47" s="260" t="s">
        <v>78</v>
      </c>
    </row>
    <row r="48" spans="2:25" ht="27.95" customHeight="1" x14ac:dyDescent="0.15">
      <c r="C48" s="895"/>
      <c r="D48" s="883"/>
      <c r="E48" s="278"/>
      <c r="F48" s="931" t="s">
        <v>473</v>
      </c>
      <c r="G48" s="931"/>
      <c r="H48" s="932"/>
      <c r="I48" s="878">
        <v>5000</v>
      </c>
      <c r="J48" s="879"/>
      <c r="K48" s="879"/>
      <c r="L48" s="262" t="s">
        <v>78</v>
      </c>
      <c r="M48" s="909">
        <f>COUNTIF(②選手登録名簿!AR22:AR39,"=2")</f>
        <v>0</v>
      </c>
      <c r="N48" s="910"/>
      <c r="O48" s="910"/>
      <c r="P48" s="261" t="s">
        <v>83</v>
      </c>
      <c r="Q48" s="909">
        <f t="shared" si="0"/>
        <v>0</v>
      </c>
      <c r="R48" s="910"/>
      <c r="S48" s="910"/>
      <c r="T48" s="261" t="s">
        <v>78</v>
      </c>
    </row>
    <row r="49" spans="3:21" ht="27.95" customHeight="1" x14ac:dyDescent="0.15">
      <c r="C49" s="895"/>
      <c r="D49" s="883" t="s">
        <v>409</v>
      </c>
      <c r="E49" s="956" t="s">
        <v>470</v>
      </c>
      <c r="F49" s="929"/>
      <c r="G49" s="929"/>
      <c r="H49" s="930"/>
      <c r="I49" s="905">
        <v>8000</v>
      </c>
      <c r="J49" s="906"/>
      <c r="K49" s="906"/>
      <c r="L49" s="261" t="s">
        <v>78</v>
      </c>
      <c r="M49" s="909">
        <f>COUNTIF(②選手登録名簿!AR22:AR39,"=3")</f>
        <v>0</v>
      </c>
      <c r="N49" s="910"/>
      <c r="O49" s="910"/>
      <c r="P49" s="261" t="s">
        <v>83</v>
      </c>
      <c r="Q49" s="909">
        <f t="shared" si="0"/>
        <v>0</v>
      </c>
      <c r="R49" s="910"/>
      <c r="S49" s="910"/>
      <c r="T49" s="261" t="s">
        <v>78</v>
      </c>
    </row>
    <row r="50" spans="3:21" ht="27.95" customHeight="1" x14ac:dyDescent="0.15">
      <c r="C50" s="887"/>
      <c r="D50" s="883"/>
      <c r="E50" s="955" t="s">
        <v>471</v>
      </c>
      <c r="F50" s="931"/>
      <c r="G50" s="931"/>
      <c r="H50" s="932"/>
      <c r="I50" s="878">
        <v>5000</v>
      </c>
      <c r="J50" s="879"/>
      <c r="K50" s="879"/>
      <c r="L50" s="279" t="s">
        <v>78</v>
      </c>
      <c r="M50" s="911">
        <f>COUNTIF(②選手登録名簿!AR22:AR39,"=4")</f>
        <v>0</v>
      </c>
      <c r="N50" s="912"/>
      <c r="O50" s="912"/>
      <c r="P50" s="262" t="s">
        <v>83</v>
      </c>
      <c r="Q50" s="911">
        <f t="shared" si="0"/>
        <v>0</v>
      </c>
      <c r="R50" s="912"/>
      <c r="S50" s="912"/>
      <c r="T50" s="262" t="s">
        <v>78</v>
      </c>
    </row>
    <row r="51" spans="3:21" ht="27.95" customHeight="1" x14ac:dyDescent="0.15">
      <c r="C51" s="353" t="s">
        <v>592</v>
      </c>
      <c r="D51" s="351"/>
      <c r="E51" s="351"/>
      <c r="F51" s="351"/>
      <c r="G51" s="351"/>
      <c r="H51" s="351"/>
      <c r="I51" s="351"/>
      <c r="J51" s="351"/>
      <c r="K51" s="351"/>
      <c r="L51" s="351"/>
      <c r="M51" s="351"/>
      <c r="N51" s="351"/>
      <c r="O51" s="351"/>
      <c r="P51" s="351"/>
      <c r="Q51" s="913">
        <f>Q47+Q48+Q49+Q50</f>
        <v>0</v>
      </c>
      <c r="R51" s="914"/>
      <c r="S51" s="914"/>
      <c r="T51" s="352" t="s">
        <v>591</v>
      </c>
    </row>
    <row r="52" spans="3:21" ht="27.95" customHeight="1" x14ac:dyDescent="0.15">
      <c r="C52" s="270"/>
      <c r="D52" s="241" t="s">
        <v>134</v>
      </c>
    </row>
    <row r="53" spans="3:21" ht="27.75" customHeight="1" x14ac:dyDescent="0.15">
      <c r="C53" s="270"/>
      <c r="L53" s="271" t="s">
        <v>481</v>
      </c>
      <c r="M53" s="907">
        <f>SUM(M43:O50)</f>
        <v>0</v>
      </c>
      <c r="N53" s="908"/>
      <c r="O53" s="908"/>
      <c r="P53" s="272" t="s">
        <v>479</v>
      </c>
    </row>
    <row r="54" spans="3:21" ht="9.9499999999999993" customHeight="1" thickBot="1" x14ac:dyDescent="0.2"/>
    <row r="55" spans="3:21" ht="27.95" hidden="1" customHeight="1" x14ac:dyDescent="0.15"/>
    <row r="56" spans="3:21" ht="27.95" hidden="1" customHeight="1" thickBot="1" x14ac:dyDescent="0.2"/>
    <row r="57" spans="3:21" ht="27.95" hidden="1" customHeight="1" thickBot="1" x14ac:dyDescent="0.2">
      <c r="C57" s="280" t="s">
        <v>77</v>
      </c>
      <c r="D57" s="923"/>
      <c r="E57" s="924"/>
      <c r="F57" s="924"/>
      <c r="G57" s="924"/>
      <c r="H57" s="924"/>
      <c r="I57" s="924"/>
      <c r="J57" s="924"/>
      <c r="K57" s="924"/>
      <c r="L57" s="925"/>
      <c r="M57" s="915" t="str">
        <f>IF(②選手登録名簿!E11="","",②選手登録名簿!E11)</f>
        <v/>
      </c>
      <c r="N57" s="916"/>
      <c r="O57" s="916"/>
      <c r="P57" s="281" t="s">
        <v>85</v>
      </c>
      <c r="Q57" s="903" t="str">
        <f>M57</f>
        <v/>
      </c>
      <c r="R57" s="904"/>
      <c r="S57" s="904"/>
      <c r="T57" s="282" t="s">
        <v>85</v>
      </c>
    </row>
    <row r="58" spans="3:21" ht="39.75" customHeight="1" thickTop="1" thickBot="1" x14ac:dyDescent="0.2">
      <c r="C58" s="926" t="s">
        <v>598</v>
      </c>
      <c r="D58" s="927"/>
      <c r="E58" s="927"/>
      <c r="F58" s="927"/>
      <c r="G58" s="927"/>
      <c r="H58" s="927"/>
      <c r="I58" s="927"/>
      <c r="J58" s="927"/>
      <c r="K58" s="927"/>
      <c r="L58" s="927"/>
      <c r="M58" s="927"/>
      <c r="N58" s="927"/>
      <c r="O58" s="927"/>
      <c r="P58" s="928"/>
      <c r="Q58" s="921">
        <f>SUM(Q34:S36)+SUM(Q43:S50)</f>
        <v>0</v>
      </c>
      <c r="R58" s="922"/>
      <c r="S58" s="922"/>
      <c r="T58" s="283" t="s">
        <v>78</v>
      </c>
    </row>
    <row r="59" spans="3:21" ht="9.75" customHeight="1" thickTop="1" x14ac:dyDescent="0.15"/>
    <row r="60" spans="3:21" ht="14.25" x14ac:dyDescent="0.15">
      <c r="Q60" s="284" t="s">
        <v>593</v>
      </c>
    </row>
    <row r="61" spans="3:21" ht="14.25" x14ac:dyDescent="0.15">
      <c r="Q61" s="284" t="s">
        <v>99</v>
      </c>
    </row>
    <row r="62" spans="3:21" ht="33" customHeight="1" x14ac:dyDescent="0.25">
      <c r="U62" s="312" t="s">
        <v>122</v>
      </c>
    </row>
    <row r="63" spans="3:21" ht="33" customHeight="1" x14ac:dyDescent="0.15">
      <c r="D63" s="285"/>
    </row>
    <row r="65" ht="26.25" customHeight="1" x14ac:dyDescent="0.15"/>
  </sheetData>
  <sheetProtection password="FFBB" sheet="1" objects="1" scenarios="1"/>
  <mergeCells count="100">
    <mergeCell ref="E37:H37"/>
    <mergeCell ref="I37:K37"/>
    <mergeCell ref="C47:C50"/>
    <mergeCell ref="E45:H45"/>
    <mergeCell ref="E46:H46"/>
    <mergeCell ref="D47:D48"/>
    <mergeCell ref="F47:H47"/>
    <mergeCell ref="F48:H48"/>
    <mergeCell ref="D49:D50"/>
    <mergeCell ref="C43:C46"/>
    <mergeCell ref="D43:D44"/>
    <mergeCell ref="E50:H50"/>
    <mergeCell ref="E49:H49"/>
    <mergeCell ref="I46:K46"/>
    <mergeCell ref="I47:K47"/>
    <mergeCell ref="I50:K50"/>
    <mergeCell ref="C34:C36"/>
    <mergeCell ref="C37:C38"/>
    <mergeCell ref="Q42:T42"/>
    <mergeCell ref="M40:O40"/>
    <mergeCell ref="Q40:T40"/>
    <mergeCell ref="Q36:S36"/>
    <mergeCell ref="D34:H34"/>
    <mergeCell ref="D35:H35"/>
    <mergeCell ref="Q35:S35"/>
    <mergeCell ref="Q38:T38"/>
    <mergeCell ref="M34:O34"/>
    <mergeCell ref="M35:O35"/>
    <mergeCell ref="D36:H36"/>
    <mergeCell ref="I34:K34"/>
    <mergeCell ref="I35:K35"/>
    <mergeCell ref="M36:O36"/>
    <mergeCell ref="D24:T24"/>
    <mergeCell ref="Q58:S58"/>
    <mergeCell ref="D57:L57"/>
    <mergeCell ref="C58:P58"/>
    <mergeCell ref="M42:O42"/>
    <mergeCell ref="M48:O48"/>
    <mergeCell ref="M43:O43"/>
    <mergeCell ref="M49:O49"/>
    <mergeCell ref="F43:H43"/>
    <mergeCell ref="M46:O46"/>
    <mergeCell ref="D45:D46"/>
    <mergeCell ref="Q43:S43"/>
    <mergeCell ref="Q44:S44"/>
    <mergeCell ref="M45:O45"/>
    <mergeCell ref="Q45:S45"/>
    <mergeCell ref="F44:H44"/>
    <mergeCell ref="I38:K38"/>
    <mergeCell ref="I45:K45"/>
    <mergeCell ref="I44:K44"/>
    <mergeCell ref="I43:K43"/>
    <mergeCell ref="M38:O38"/>
    <mergeCell ref="M44:O44"/>
    <mergeCell ref="Q39:S39"/>
    <mergeCell ref="Q57:S57"/>
    <mergeCell ref="I49:K49"/>
    <mergeCell ref="M53:O53"/>
    <mergeCell ref="Q49:S49"/>
    <mergeCell ref="M50:O50"/>
    <mergeCell ref="Q51:S51"/>
    <mergeCell ref="M57:O57"/>
    <mergeCell ref="M47:O47"/>
    <mergeCell ref="Q46:S46"/>
    <mergeCell ref="Q47:S47"/>
    <mergeCell ref="Q50:S50"/>
    <mergeCell ref="I48:K48"/>
    <mergeCell ref="Q48:S48"/>
    <mergeCell ref="B1:T1"/>
    <mergeCell ref="Q33:T33"/>
    <mergeCell ref="D33:L33"/>
    <mergeCell ref="M33:P33"/>
    <mergeCell ref="I9:K9"/>
    <mergeCell ref="D22:T22"/>
    <mergeCell ref="D9:D10"/>
    <mergeCell ref="L9:O9"/>
    <mergeCell ref="C5:H5"/>
    <mergeCell ref="B2:T2"/>
    <mergeCell ref="E8:T8"/>
    <mergeCell ref="C9:C14"/>
    <mergeCell ref="C21:C25"/>
    <mergeCell ref="C6:C8"/>
    <mergeCell ref="P6:Q6"/>
    <mergeCell ref="D14:T14"/>
    <mergeCell ref="M37:O37"/>
    <mergeCell ref="Q37:T37"/>
    <mergeCell ref="E38:H38"/>
    <mergeCell ref="D6:O6"/>
    <mergeCell ref="Q9:S9"/>
    <mergeCell ref="D23:T23"/>
    <mergeCell ref="E7:T7"/>
    <mergeCell ref="D25:T25"/>
    <mergeCell ref="R6:T6"/>
    <mergeCell ref="F10:T10"/>
    <mergeCell ref="F11:T11"/>
    <mergeCell ref="F12:T12"/>
    <mergeCell ref="F13:T13"/>
    <mergeCell ref="D21:T21"/>
    <mergeCell ref="I36:K36"/>
    <mergeCell ref="Q34:S34"/>
  </mergeCells>
  <phoneticPr fontId="1"/>
  <conditionalFormatting sqref="E7:T7">
    <cfRule type="containsText" dxfId="34" priority="2" stopIfTrue="1" operator="containsText" text="英語のチーム名または難解な漢字のチーム名は、カタカナで読み仮名を入力する">
      <formula>NOT(ISERROR(SEARCH("英語のチーム名または難解な漢字のチーム名は、カタカナで読み仮名を入力する",E7)))</formula>
    </cfRule>
  </conditionalFormatting>
  <conditionalFormatting sqref="E8:T8">
    <cfRule type="containsText" dxfId="33" priority="1" stopIfTrue="1" operator="containsText" text="チーム名を変更した場合、変更前のチーム名を入力する">
      <formula>NOT(ISERROR(SEARCH("チーム名を変更した場合、変更前のチーム名を入力する",E8)))</formula>
    </cfRule>
  </conditionalFormatting>
  <dataValidations count="3">
    <dataValidation imeMode="off" allowBlank="1" showInputMessage="1" showErrorMessage="1" sqref="E7:T7 F9 H9 E12:F13" xr:uid="{00000000-0002-0000-0400-000000000000}"/>
    <dataValidation imeMode="on" allowBlank="1" showInputMessage="1" showErrorMessage="1" sqref="D21:T25 E8:T8 P6 D6 E10:F11" xr:uid="{00000000-0002-0000-0400-000001000000}"/>
    <dataValidation type="whole" imeMode="off" operator="greaterThanOrEqual" allowBlank="1" showInputMessage="1" showErrorMessage="1" errorTitle="データの入力誤り" error="数字以外のデータが入力されました。" sqref="M57:O57" xr:uid="{00000000-0002-0000-0400-000002000000}">
      <formula1>0</formula1>
    </dataValidation>
  </dataValidations>
  <pageMargins left="0.70866141732283472" right="0.31496062992125984" top="0.35433070866141736"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B1:BY44"/>
  <sheetViews>
    <sheetView showGridLines="0" showRowColHeaders="0" zoomScaleNormal="100" zoomScaleSheetLayoutView="100" workbookViewId="0">
      <selection activeCell="E6" sqref="E6:K6"/>
    </sheetView>
  </sheetViews>
  <sheetFormatPr defaultColWidth="8.875" defaultRowHeight="13.5" x14ac:dyDescent="0.15"/>
  <cols>
    <col min="1" max="1" width="3.625" customWidth="1"/>
    <col min="2" max="2" width="4.875" customWidth="1"/>
    <col min="3" max="3" width="5.25" bestFit="1" customWidth="1"/>
    <col min="4" max="4" width="9.625" customWidth="1"/>
    <col min="5" max="7" width="7.625" customWidth="1"/>
    <col min="8" max="8" width="5.625" customWidth="1"/>
    <col min="9" max="12" width="8.625" customWidth="1"/>
    <col min="13" max="13" width="5.25" hidden="1" customWidth="1"/>
    <col min="14" max="14" width="12.625" customWidth="1"/>
    <col min="15" max="15" width="4.625" customWidth="1"/>
    <col min="16" max="16" width="5.875" bestFit="1" customWidth="1"/>
    <col min="17" max="17" width="28.75" customWidth="1"/>
    <col min="18" max="18" width="8.375" bestFit="1" customWidth="1"/>
    <col min="19" max="20" width="7.5" hidden="1" customWidth="1"/>
    <col min="21" max="22" width="26.75" hidden="1" customWidth="1"/>
    <col min="23" max="23" width="25.25" hidden="1" customWidth="1"/>
    <col min="24" max="24" width="11" hidden="1" customWidth="1"/>
    <col min="25" max="25" width="17.625" hidden="1" customWidth="1"/>
    <col min="26" max="27" width="7.5" hidden="1" customWidth="1"/>
    <col min="28" max="28" width="17.625" hidden="1" customWidth="1"/>
    <col min="29" max="32" width="7.5" hidden="1" customWidth="1"/>
    <col min="33" max="33" width="13.625" hidden="1" customWidth="1"/>
    <col min="34" max="39" width="7.5" hidden="1" customWidth="1"/>
    <col min="40" max="40" width="10.25" hidden="1" customWidth="1"/>
    <col min="41" max="41" width="7.5" hidden="1" customWidth="1"/>
    <col min="42" max="42" width="15.25" hidden="1" customWidth="1"/>
    <col min="43" max="44" width="17.375" hidden="1" customWidth="1"/>
    <col min="45" max="45" width="21.5" hidden="1" customWidth="1"/>
    <col min="46" max="46" width="30.5" hidden="1" customWidth="1"/>
    <col min="47" max="47" width="20.25" hidden="1" customWidth="1"/>
    <col min="48" max="48" width="9.25" hidden="1" customWidth="1"/>
    <col min="49" max="49" width="15.25" hidden="1" customWidth="1"/>
    <col min="50" max="51" width="7.5" hidden="1" customWidth="1"/>
    <col min="52" max="52" width="25" hidden="1" customWidth="1"/>
    <col min="53" max="55" width="7.5" hidden="1" customWidth="1"/>
    <col min="56" max="56" width="15.5" hidden="1" customWidth="1"/>
    <col min="57" max="57" width="7.5" hidden="1" customWidth="1"/>
    <col min="58" max="58" width="22.625" hidden="1" customWidth="1"/>
    <col min="59" max="61" width="7.5" hidden="1" customWidth="1"/>
    <col min="62" max="62" width="9.5" hidden="1" customWidth="1"/>
    <col min="63" max="63" width="14.125" hidden="1" customWidth="1"/>
    <col min="64" max="64" width="7.5" hidden="1" customWidth="1"/>
    <col min="65" max="65" width="24.125" hidden="1" customWidth="1"/>
    <col min="66" max="66" width="30.375" hidden="1" customWidth="1"/>
    <col min="67" max="77" width="7.5" hidden="1" customWidth="1"/>
    <col min="78" max="254" width="7.5" customWidth="1"/>
    <col min="255" max="255" width="2.375" customWidth="1"/>
  </cols>
  <sheetData>
    <row r="1" spans="2:23" ht="33.75" thickBot="1" x14ac:dyDescent="0.2">
      <c r="B1" s="998" t="str">
        <f>①大会参加申込書!B1</f>
        <v>第２５回ジャパンデフバレーボールカップ　川崎大会</v>
      </c>
      <c r="C1" s="998"/>
      <c r="D1" s="998"/>
      <c r="E1" s="998"/>
      <c r="F1" s="998"/>
      <c r="G1" s="998"/>
      <c r="H1" s="998"/>
      <c r="I1" s="998"/>
      <c r="J1" s="998"/>
      <c r="K1" s="998"/>
      <c r="L1" s="998"/>
      <c r="M1" s="998"/>
      <c r="N1" s="998"/>
      <c r="O1" s="998"/>
      <c r="P1" s="998"/>
      <c r="Q1" s="998"/>
      <c r="U1" t="s">
        <v>230</v>
      </c>
    </row>
    <row r="2" spans="2:23" ht="23.25" thickBot="1" x14ac:dyDescent="0.2">
      <c r="B2" s="999" t="s">
        <v>535</v>
      </c>
      <c r="C2" s="999"/>
      <c r="D2" s="999"/>
      <c r="E2" s="999"/>
      <c r="F2" s="999"/>
      <c r="G2" s="999"/>
      <c r="H2" s="999"/>
      <c r="I2" s="999"/>
      <c r="J2" s="999"/>
      <c r="K2" s="999"/>
      <c r="L2" s="999"/>
      <c r="M2" s="999"/>
      <c r="N2" s="999"/>
      <c r="O2" s="999"/>
      <c r="P2" s="999"/>
      <c r="Q2" s="999"/>
      <c r="U2" s="68">
        <f>IF(OR(SUM($U$22:$U$39)&lt;&gt;18,SUM($V$22:$V$39)&lt;&gt;18,SUM($AT$22:$AT$39)&lt;&gt;18,④診断リスト!AM35="E1",④診断リスト!AM35="E2",④診断リスト!AM36="×"),1,0)</f>
        <v>0</v>
      </c>
      <c r="V2" s="68">
        <f>IF(SUM(BF22:BF39)=18,0,1)</f>
        <v>0</v>
      </c>
      <c r="W2" s="68">
        <f>IF(SUM(BH22:BH39)=18,0,1)</f>
        <v>0</v>
      </c>
    </row>
    <row r="3" spans="2:23" ht="17.25" x14ac:dyDescent="0.15">
      <c r="B3" s="110"/>
      <c r="C3" s="110"/>
      <c r="D3" s="110"/>
      <c r="E3" s="110"/>
      <c r="F3" s="110"/>
      <c r="G3" s="110"/>
      <c r="H3" s="110"/>
      <c r="I3" s="110"/>
      <c r="J3" s="110"/>
      <c r="K3" s="110"/>
      <c r="L3" s="110"/>
      <c r="M3" s="110"/>
      <c r="N3" s="110"/>
      <c r="O3" s="110"/>
      <c r="P3" s="110"/>
      <c r="Q3" s="110"/>
    </row>
    <row r="4" spans="2:23" ht="17.25" x14ac:dyDescent="0.15">
      <c r="B4" s="65" t="s">
        <v>501</v>
      </c>
      <c r="E4" s="111"/>
      <c r="F4" s="111"/>
      <c r="G4" s="111"/>
      <c r="H4" s="111"/>
      <c r="I4" s="111"/>
      <c r="J4" s="111"/>
      <c r="K4" s="111"/>
      <c r="L4" s="111"/>
      <c r="M4" s="111"/>
      <c r="N4" s="111"/>
      <c r="O4" s="111"/>
      <c r="P4" s="111"/>
      <c r="Q4" s="111"/>
    </row>
    <row r="5" spans="2:23" ht="26.1" customHeight="1" x14ac:dyDescent="0.15">
      <c r="B5" s="1000" t="s">
        <v>109</v>
      </c>
      <c r="C5" s="1001"/>
      <c r="D5" s="1002"/>
      <c r="E5" s="1003" t="str">
        <f>IF(TRIM(参加者登録申込書!G6)="","",TRIM(参加者登録申込書!G6))</f>
        <v/>
      </c>
      <c r="F5" s="1004"/>
      <c r="G5" s="1004"/>
      <c r="H5" s="1004"/>
      <c r="I5" s="1004"/>
      <c r="J5" s="1004"/>
      <c r="K5" s="1005"/>
      <c r="L5" s="111"/>
      <c r="M5" s="111"/>
      <c r="N5" s="111"/>
      <c r="O5" s="111"/>
      <c r="P5" s="111"/>
      <c r="Q5" s="111"/>
    </row>
    <row r="6" spans="2:23" ht="26.1" customHeight="1" x14ac:dyDescent="0.15">
      <c r="B6" s="983" t="s">
        <v>405</v>
      </c>
      <c r="C6" s="984"/>
      <c r="D6" s="985"/>
      <c r="E6" s="986"/>
      <c r="F6" s="987"/>
      <c r="G6" s="987"/>
      <c r="H6" s="987"/>
      <c r="I6" s="987"/>
      <c r="J6" s="987"/>
      <c r="K6" s="988"/>
      <c r="L6" s="111"/>
      <c r="M6" s="111"/>
      <c r="N6" s="111"/>
      <c r="O6" s="111"/>
      <c r="P6" s="111"/>
      <c r="Q6" s="111"/>
    </row>
    <row r="7" spans="2:23" ht="26.1" customHeight="1" x14ac:dyDescent="0.15">
      <c r="B7" s="983"/>
      <c r="C7" s="984"/>
      <c r="D7" s="985"/>
      <c r="E7" s="994"/>
      <c r="F7" s="995"/>
      <c r="G7" s="995"/>
      <c r="H7" s="995"/>
      <c r="I7" s="995"/>
      <c r="J7" s="995"/>
      <c r="K7" s="996"/>
      <c r="L7" s="111"/>
      <c r="M7" s="111"/>
      <c r="N7" s="111"/>
      <c r="O7" s="111"/>
      <c r="P7" s="111"/>
      <c r="Q7" s="111"/>
    </row>
    <row r="8" spans="2:23" ht="26.1" customHeight="1" x14ac:dyDescent="0.15">
      <c r="B8" s="983"/>
      <c r="C8" s="984"/>
      <c r="D8" s="985"/>
      <c r="E8" s="994"/>
      <c r="F8" s="995"/>
      <c r="G8" s="995"/>
      <c r="H8" s="995"/>
      <c r="I8" s="995"/>
      <c r="J8" s="995"/>
      <c r="K8" s="996"/>
      <c r="L8" s="111"/>
      <c r="M8" s="111"/>
      <c r="N8" s="111"/>
      <c r="O8" s="111"/>
      <c r="P8" s="111"/>
      <c r="Q8" s="111"/>
    </row>
    <row r="9" spans="2:23" ht="26.1" customHeight="1" x14ac:dyDescent="0.15">
      <c r="B9" s="983"/>
      <c r="C9" s="984"/>
      <c r="D9" s="985"/>
      <c r="E9" s="968"/>
      <c r="F9" s="969"/>
      <c r="G9" s="969"/>
      <c r="H9" s="969"/>
      <c r="I9" s="969"/>
      <c r="J9" s="969"/>
      <c r="K9" s="970"/>
      <c r="L9" s="111"/>
      <c r="M9" s="111"/>
      <c r="N9" s="111"/>
      <c r="O9" s="111"/>
      <c r="P9" s="111"/>
      <c r="Q9" s="111"/>
    </row>
    <row r="10" spans="2:23" ht="26.1" customHeight="1" x14ac:dyDescent="0.15">
      <c r="B10" s="983"/>
      <c r="C10" s="984"/>
      <c r="D10" s="985"/>
      <c r="E10" s="975"/>
      <c r="F10" s="976"/>
      <c r="G10" s="976"/>
      <c r="H10" s="976"/>
      <c r="I10" s="976"/>
      <c r="J10" s="976"/>
      <c r="K10" s="977"/>
      <c r="L10" s="111"/>
      <c r="M10" s="111"/>
      <c r="N10" s="111"/>
      <c r="O10" s="111"/>
      <c r="P10" s="111"/>
      <c r="Q10" s="111"/>
    </row>
    <row r="11" spans="2:23" ht="26.1" hidden="1" customHeight="1" x14ac:dyDescent="0.15">
      <c r="B11" s="991" t="s">
        <v>520</v>
      </c>
      <c r="C11" s="992"/>
      <c r="D11" s="993"/>
      <c r="E11" s="291"/>
      <c r="F11" s="292" t="s">
        <v>406</v>
      </c>
      <c r="G11" s="997"/>
      <c r="H11" s="997"/>
      <c r="I11" s="997"/>
      <c r="J11" s="997"/>
      <c r="K11" s="997"/>
      <c r="L11" s="997"/>
      <c r="M11" s="997"/>
      <c r="N11" s="997"/>
      <c r="O11" s="997"/>
      <c r="P11" s="997"/>
      <c r="Q11" s="997"/>
    </row>
    <row r="12" spans="2:23" ht="18" customHeight="1" x14ac:dyDescent="0.15">
      <c r="B12" s="111"/>
      <c r="C12" s="111"/>
      <c r="D12" s="111"/>
      <c r="E12" s="111"/>
      <c r="F12" s="111"/>
      <c r="G12" s="997"/>
      <c r="H12" s="997"/>
      <c r="I12" s="997"/>
      <c r="J12" s="997"/>
      <c r="K12" s="997"/>
      <c r="L12" s="997"/>
      <c r="M12" s="997"/>
      <c r="N12" s="997"/>
      <c r="O12" s="997"/>
      <c r="P12" s="997"/>
      <c r="Q12" s="997"/>
    </row>
    <row r="13" spans="2:23" ht="17.25" hidden="1" x14ac:dyDescent="0.15">
      <c r="B13" s="111"/>
      <c r="C13" s="111"/>
      <c r="D13" s="111"/>
      <c r="E13" s="111"/>
      <c r="F13" s="111"/>
      <c r="G13" s="111"/>
      <c r="H13" s="111"/>
      <c r="I13" s="111"/>
      <c r="J13" s="111"/>
      <c r="K13" s="111"/>
      <c r="L13" s="111"/>
      <c r="M13" s="111"/>
      <c r="N13" s="111"/>
      <c r="O13" s="111"/>
      <c r="P13" s="111"/>
      <c r="Q13" s="111"/>
    </row>
    <row r="14" spans="2:23" ht="17.25" hidden="1" x14ac:dyDescent="0.15">
      <c r="B14" s="111"/>
      <c r="C14" s="111"/>
      <c r="D14" s="111"/>
      <c r="E14" s="111"/>
      <c r="F14" s="111"/>
      <c r="G14" s="111"/>
      <c r="H14" s="111"/>
      <c r="I14" s="111"/>
      <c r="J14" s="111"/>
      <c r="K14" s="111"/>
      <c r="L14" s="111"/>
      <c r="M14" s="111"/>
      <c r="N14" s="111"/>
      <c r="O14" s="111"/>
      <c r="P14" s="111"/>
      <c r="Q14" s="111"/>
    </row>
    <row r="15" spans="2:23" ht="17.25" hidden="1" x14ac:dyDescent="0.15">
      <c r="B15" s="111"/>
      <c r="C15" s="111"/>
      <c r="D15" s="111"/>
      <c r="E15" s="111"/>
      <c r="F15" s="111"/>
      <c r="G15" s="111"/>
      <c r="H15" s="111"/>
      <c r="I15" s="111"/>
      <c r="J15" s="111"/>
      <c r="K15" s="111"/>
      <c r="L15" s="111"/>
      <c r="M15" s="111"/>
      <c r="N15" s="111"/>
      <c r="O15" s="111"/>
      <c r="P15" s="111"/>
      <c r="Q15" s="111"/>
    </row>
    <row r="16" spans="2:23" ht="17.25" hidden="1" x14ac:dyDescent="0.15">
      <c r="B16" s="111"/>
      <c r="C16" s="111"/>
      <c r="D16" s="111"/>
      <c r="E16" s="111"/>
      <c r="F16" s="111"/>
      <c r="G16" s="111"/>
      <c r="H16" s="111"/>
      <c r="I16" s="111"/>
      <c r="J16" s="111"/>
      <c r="K16" s="111"/>
      <c r="L16" s="111"/>
      <c r="M16" s="111"/>
      <c r="N16" s="111"/>
      <c r="O16" s="111"/>
      <c r="P16" s="111"/>
      <c r="Q16" s="111"/>
    </row>
    <row r="17" spans="2:63" ht="44.25" customHeight="1" thickBot="1" x14ac:dyDescent="0.2">
      <c r="I17" s="989" t="s">
        <v>534</v>
      </c>
      <c r="J17" s="990"/>
      <c r="K17" s="990"/>
      <c r="L17" s="990"/>
      <c r="M17" s="990"/>
      <c r="N17" s="990"/>
      <c r="O17" s="990"/>
      <c r="P17" s="990"/>
      <c r="Q17" s="990"/>
      <c r="AO17" s="388" t="s">
        <v>621</v>
      </c>
      <c r="AW17" t="s">
        <v>135</v>
      </c>
    </row>
    <row r="18" spans="2:63" ht="15" customHeight="1" thickBot="1" x14ac:dyDescent="0.2">
      <c r="B18" s="978" t="s">
        <v>373</v>
      </c>
      <c r="C18" s="980" t="s">
        <v>10</v>
      </c>
      <c r="D18" s="980" t="s">
        <v>345</v>
      </c>
      <c r="E18" s="980" t="s">
        <v>374</v>
      </c>
      <c r="F18" s="982" t="s">
        <v>306</v>
      </c>
      <c r="G18" s="980" t="s">
        <v>8</v>
      </c>
      <c r="H18" s="959" t="s">
        <v>417</v>
      </c>
      <c r="I18" s="960" t="s">
        <v>0</v>
      </c>
      <c r="J18" s="961"/>
      <c r="K18" s="960" t="s">
        <v>299</v>
      </c>
      <c r="L18" s="961"/>
      <c r="M18" s="962" t="s">
        <v>229</v>
      </c>
      <c r="N18" s="113" t="s">
        <v>302</v>
      </c>
      <c r="O18" s="964" t="s">
        <v>6</v>
      </c>
      <c r="P18" s="966" t="s">
        <v>304</v>
      </c>
      <c r="Q18" s="964" t="s">
        <v>225</v>
      </c>
      <c r="R18" s="957" t="s">
        <v>375</v>
      </c>
      <c r="T18" t="s">
        <v>214</v>
      </c>
      <c r="U18" t="s">
        <v>143</v>
      </c>
      <c r="V18" t="s">
        <v>314</v>
      </c>
      <c r="W18" s="223" t="s">
        <v>482</v>
      </c>
      <c r="X18" t="s">
        <v>129</v>
      </c>
      <c r="Y18" t="s">
        <v>91</v>
      </c>
      <c r="AA18" t="s">
        <v>49</v>
      </c>
      <c r="AB18" t="s">
        <v>43</v>
      </c>
      <c r="AC18" t="s">
        <v>35</v>
      </c>
      <c r="AD18" t="s">
        <v>44</v>
      </c>
      <c r="AE18" t="s">
        <v>45</v>
      </c>
      <c r="AF18" t="s">
        <v>46</v>
      </c>
      <c r="AG18" t="s">
        <v>47</v>
      </c>
      <c r="AI18" t="s">
        <v>51</v>
      </c>
      <c r="AJ18" t="s">
        <v>52</v>
      </c>
      <c r="AK18" t="s">
        <v>53</v>
      </c>
      <c r="AL18" t="s">
        <v>53</v>
      </c>
      <c r="AM18" t="s">
        <v>54</v>
      </c>
      <c r="AN18" t="s">
        <v>50</v>
      </c>
      <c r="AO18" t="s">
        <v>89</v>
      </c>
      <c r="AP18" t="s">
        <v>94</v>
      </c>
      <c r="AQ18" t="s">
        <v>95</v>
      </c>
      <c r="AR18" s="226" t="s">
        <v>95</v>
      </c>
      <c r="AS18" s="223" t="s">
        <v>497</v>
      </c>
      <c r="AT18" t="s">
        <v>133</v>
      </c>
      <c r="AU18" s="223" t="s">
        <v>496</v>
      </c>
      <c r="AW18" t="s">
        <v>96</v>
      </c>
      <c r="AX18" t="s">
        <v>97</v>
      </c>
      <c r="AY18" t="s">
        <v>98</v>
      </c>
      <c r="AZ18" t="s">
        <v>106</v>
      </c>
      <c r="BA18" t="s">
        <v>136</v>
      </c>
      <c r="BB18" t="s">
        <v>137</v>
      </c>
      <c r="BD18" t="s">
        <v>309</v>
      </c>
      <c r="BF18" t="s">
        <v>315</v>
      </c>
      <c r="BH18" t="s">
        <v>316</v>
      </c>
      <c r="BJ18" t="s">
        <v>417</v>
      </c>
      <c r="BK18" t="s">
        <v>420</v>
      </c>
    </row>
    <row r="19" spans="2:63" ht="15" customHeight="1" thickBot="1" x14ac:dyDescent="0.2">
      <c r="B19" s="979"/>
      <c r="C19" s="981"/>
      <c r="D19" s="981"/>
      <c r="E19" s="981"/>
      <c r="F19" s="981"/>
      <c r="G19" s="981"/>
      <c r="H19" s="959"/>
      <c r="I19" s="102" t="s">
        <v>1</v>
      </c>
      <c r="J19" s="102" t="s">
        <v>2</v>
      </c>
      <c r="K19" s="102" t="s">
        <v>3</v>
      </c>
      <c r="L19" s="102" t="s">
        <v>4</v>
      </c>
      <c r="M19" s="963"/>
      <c r="N19" s="112" t="s">
        <v>303</v>
      </c>
      <c r="O19" s="965"/>
      <c r="P19" s="967"/>
      <c r="Q19" s="965"/>
      <c r="R19" s="958"/>
      <c r="W19" s="223"/>
      <c r="AC19">
        <f>IF(COUNTIF(F22:F39,AC18)&gt;0,8,0)</f>
        <v>0</v>
      </c>
      <c r="AD19">
        <f>IF(COUNTIF(F22:F39,AD18)&gt;0,4,0)</f>
        <v>0</v>
      </c>
      <c r="AE19">
        <f>IF(COUNTIF(F22:F39,AE18)&gt;0,2,0)</f>
        <v>0</v>
      </c>
      <c r="AF19">
        <f>IF(COUNTIF(F22:F39,AF18)&gt;0,1,0)</f>
        <v>0</v>
      </c>
      <c r="AG19" s="5" t="str">
        <f>"スタッフ選択" &amp; SUM(AC19:AF19)</f>
        <v>スタッフ選択0</v>
      </c>
      <c r="AL19" s="61">
        <f>COUNT(AI22:AL39)</f>
        <v>0</v>
      </c>
      <c r="AM19" s="61">
        <f>COUNT(AM22:AM39)</f>
        <v>0</v>
      </c>
      <c r="AR19" s="223"/>
      <c r="AS19" s="223"/>
      <c r="AU19" s="19"/>
    </row>
    <row r="20" spans="2:63" ht="27" customHeight="1" x14ac:dyDescent="0.15">
      <c r="B20" s="11" t="s">
        <v>48</v>
      </c>
      <c r="C20" s="12"/>
      <c r="D20" s="13" t="s">
        <v>102</v>
      </c>
      <c r="E20" s="13" t="s">
        <v>103</v>
      </c>
      <c r="F20" s="13" t="s">
        <v>104</v>
      </c>
      <c r="G20" s="13">
        <v>12</v>
      </c>
      <c r="H20" s="56"/>
      <c r="I20" s="13" t="s">
        <v>100</v>
      </c>
      <c r="J20" s="13" t="s">
        <v>101</v>
      </c>
      <c r="K20" s="13" t="s">
        <v>300</v>
      </c>
      <c r="L20" s="13" t="s">
        <v>301</v>
      </c>
      <c r="M20" s="56"/>
      <c r="N20" s="62">
        <v>32531</v>
      </c>
      <c r="O20" s="13">
        <v>27</v>
      </c>
      <c r="P20" s="14">
        <v>175</v>
      </c>
      <c r="Q20" s="22" t="s">
        <v>378</v>
      </c>
      <c r="R20" s="63">
        <v>3000</v>
      </c>
      <c r="T20" s="58" t="b">
        <v>1</v>
      </c>
      <c r="W20" s="223"/>
      <c r="AR20" s="223"/>
      <c r="AS20" s="223"/>
      <c r="AU20" s="19"/>
    </row>
    <row r="21" spans="2:63" ht="20.100000000000001" customHeight="1" x14ac:dyDescent="0.15">
      <c r="B21" s="25"/>
      <c r="C21" s="26"/>
      <c r="D21" s="64" t="s">
        <v>308</v>
      </c>
      <c r="E21" s="27"/>
      <c r="F21" s="27"/>
      <c r="G21" s="29"/>
      <c r="H21" s="144" t="s">
        <v>307</v>
      </c>
      <c r="I21" s="27"/>
      <c r="J21" s="57"/>
      <c r="K21" s="57"/>
      <c r="L21" s="57"/>
      <c r="N21" s="65"/>
      <c r="O21" s="57"/>
      <c r="P21" s="57"/>
      <c r="Q21" s="114"/>
      <c r="R21" s="28"/>
      <c r="W21" s="223"/>
      <c r="AR21" s="223"/>
      <c r="AS21" s="223"/>
      <c r="AU21" s="19"/>
      <c r="BJ21">
        <f>COUNTIF(BJ22:BJ39,TRUE)</f>
        <v>0</v>
      </c>
      <c r="BK21">
        <f>COUNTIF(BK22:BK39,1)</f>
        <v>0</v>
      </c>
    </row>
    <row r="22" spans="2:63" ht="26.1" customHeight="1" x14ac:dyDescent="0.15">
      <c r="B22" s="105">
        <v>1</v>
      </c>
      <c r="C22" s="149"/>
      <c r="D22" s="286" t="str">
        <f>VLOOKUP(B22,参加者登録申込書!$CB$21:$CH$59,7,0)</f>
        <v/>
      </c>
      <c r="E22" s="151"/>
      <c r="F22" s="151"/>
      <c r="G22" s="152"/>
      <c r="H22" s="149"/>
      <c r="I22" s="286" t="str">
        <f>VLOOKUP(B22,参加者登録申込書!$CB$21:$CC$60,2,0)</f>
        <v/>
      </c>
      <c r="J22" s="286" t="str">
        <f>VLOOKUP(B22,参加者登録申込書!$CB$21:$CD$60,3,0)</f>
        <v/>
      </c>
      <c r="K22" s="286" t="str">
        <f>VLOOKUP(B22,参加者登録申込書!$CB$21:$CE$60,4,0)</f>
        <v/>
      </c>
      <c r="L22" s="286" t="str">
        <f>VLOOKUP(B22,参加者登録申込書!$CB$21:$CF$60,5,0)</f>
        <v/>
      </c>
      <c r="M22" s="149"/>
      <c r="N22" s="288" t="str">
        <f>VLOOKUP(B22,参加者登録申込書!$CB$21:$CI$60,8,0)</f>
        <v/>
      </c>
      <c r="O22" s="286" t="str">
        <f>VLOOKUP(B22,参加者登録申込書!$CB$21:$CJ$60,9,0)</f>
        <v/>
      </c>
      <c r="P22" s="145"/>
      <c r="Q22" s="146"/>
      <c r="R22" s="290" t="str">
        <f>AS22</f>
        <v/>
      </c>
      <c r="T22" s="58" t="b">
        <v>0</v>
      </c>
      <c r="U22" s="10">
        <f>IF(B22=$AA$22,IF(E22="選手",1,0),1)</f>
        <v>1</v>
      </c>
      <c r="V22" s="10">
        <f t="shared" ref="V22:V37" si="0">IF(AND(TRIM(G22)="",TRIM(E22)="選手"),0,1)</f>
        <v>1</v>
      </c>
      <c r="W22" s="223" t="str">
        <f>VLOOKUP(B22,参加者登録申込書!$CB$21:$CP$59,15,0)</f>
        <v>（今回登録）</v>
      </c>
      <c r="X22" s="7" t="s">
        <v>298</v>
      </c>
      <c r="Y22" s="7" t="str">
        <f t="shared" ref="Y22:Y39" si="1">IF(TRIM(D22)="","選択なし",IF(OR(D22="聴者",$AM$19=14),"参加料スタッフのみ","参加料"))</f>
        <v>選択なし</v>
      </c>
      <c r="AA22" s="6">
        <v>19</v>
      </c>
      <c r="AB22" s="5" t="str">
        <f>IF(AND(TRIM(D22)&lt;&gt;"",TRIM(E22)&lt;&gt;""),$AG$19,"スタッフ選択15")</f>
        <v>スタッフ選択15</v>
      </c>
      <c r="AI22" s="7" t="str">
        <f t="shared" ref="AI22:AI37" si="2">IF(F22=$AC$18,ROW(),"")</f>
        <v/>
      </c>
      <c r="AJ22" s="7" t="str">
        <f t="shared" ref="AJ22:AJ37" si="3">IF(F22=$AD$18,ROW(),"")</f>
        <v/>
      </c>
      <c r="AK22" s="7" t="str">
        <f t="shared" ref="AK22:AK37" si="4">IF(F22=$AE$18,ROW(),"")</f>
        <v/>
      </c>
      <c r="AL22" s="8" t="str">
        <f t="shared" ref="AL22:AL37" si="5">IF(F22=$AF$18,ROW(),"")</f>
        <v/>
      </c>
      <c r="AM22" s="9" t="str">
        <f t="shared" ref="AM22:AM37" si="6">IF(E22=$AM$18,ROW(),"")</f>
        <v/>
      </c>
      <c r="AN22" s="7" t="str">
        <f t="shared" ref="AN22:AN39" si="7">CONCATENATE(TRIM(I22),"　",TRIM(J22))</f>
        <v>　</v>
      </c>
      <c r="AO22" s="389" t="str">
        <f>IF(G22="","",G22)</f>
        <v/>
      </c>
      <c r="AP22" s="16">
        <f t="shared" ref="AP22:AP39" si="8">IF(D22="DEAF",1,IF(D22="聴者",2,IF(D22="高校生以下",3,0)))</f>
        <v>0</v>
      </c>
      <c r="AQ22" s="16">
        <f t="shared" ref="AQ22:AQ37" si="9">IF(E22="選手",1,IF(E22="スタッフ",2,0))</f>
        <v>0</v>
      </c>
      <c r="AR22" s="224">
        <f>IF(AND(AQ22=1,AP22=1),IF(W22="早期割引会員",11,1),IF(AND(AQ22=1,AP22=3),IF(W22="早期割引会員",12,2),IF(AND(AQ22=2,OR(AP22=1,AP22=2)),IF(W22="早期割引会員",13,3),IF(AND(AQ22=2,AP22=3),IF(W22="早期割引会員",14,4),0))))</f>
        <v>0</v>
      </c>
      <c r="AS22" s="223" t="str">
        <f>IF(AU22="","",IF(W22="早期割引会員",(AU22-500),AU22))</f>
        <v/>
      </c>
      <c r="AT22" s="16">
        <f t="shared" ref="AT22:AT37" si="10">IF(TRIM(E22)&lt;&gt;"スタッフ",1,IF(TRIM(F22)="",0,1))</f>
        <v>1</v>
      </c>
      <c r="AU22" s="225" t="str">
        <f>IF(AND(AP22&gt;0,AQ22&gt;0),INDEX(MY_MATRIX!$D$8:E10,②選手登録名簿!AP22,②選手登録名簿!AQ22),"")</f>
        <v/>
      </c>
      <c r="AV22" t="s">
        <v>56</v>
      </c>
      <c r="AW22" s="10" t="str">
        <f>IF(COUNT(AI22:AI39)&lt;&gt;1,"",INDEX(AN22:AN39,SMALL(AI22:AI39,1)-ROW(A22)+1))</f>
        <v/>
      </c>
      <c r="AY22" s="10" t="str">
        <f>IF(COUNT(AI22:AI39)&lt;&gt;1,"",INDEX(AS22:AS39,SMALL(AI22:AI39,1)-ROW(A22)+1))</f>
        <v/>
      </c>
      <c r="AZ22">
        <f>IF(AW22&lt;&gt;"",IF(ISNA(VLOOKUP(AW22,$AW$26:$AY$39,3,0)),0,1),0)</f>
        <v>0</v>
      </c>
      <c r="BD22" s="10" t="str">
        <f t="shared" ref="BD22:BD39" si="11">CONCATENATE(TRIM(K22),"　",TRIM(L22))</f>
        <v>　</v>
      </c>
      <c r="BE22" s="67"/>
      <c r="BF22" s="10">
        <f t="shared" ref="BF22:BF39" si="12">IF(AND(D22&lt;&gt;"",E22&lt;&gt;""),IF(E22="スタッフ",IF(OR(TRIM(I22)="",TRIM(J22)=""),0,1),IF(OR(TRIM(I22)="",TRIM(J22)="",TRIM(K22)="",TRIM(L22)=""),0,1)),1)</f>
        <v>1</v>
      </c>
      <c r="BH22" s="10">
        <f t="shared" ref="BH22:BH39" si="13">IF(T22,IF(TRIM(N22)="",0,1),1)</f>
        <v>1</v>
      </c>
      <c r="BJ22" s="116" t="b">
        <v>0</v>
      </c>
      <c r="BK22">
        <f>IF(AND(AQ22&lt;&gt;1,BJ22=TRUE),1,0)</f>
        <v>0</v>
      </c>
    </row>
    <row r="23" spans="2:63" ht="26.1" customHeight="1" x14ac:dyDescent="0.15">
      <c r="B23" s="105">
        <v>2</v>
      </c>
      <c r="C23" s="149"/>
      <c r="D23" s="286" t="str">
        <f>VLOOKUP(B23,参加者登録申込書!$CB$21:$CH$59,7,0)</f>
        <v/>
      </c>
      <c r="E23" s="151"/>
      <c r="F23" s="151"/>
      <c r="G23" s="152"/>
      <c r="H23" s="149"/>
      <c r="I23" s="286" t="str">
        <f>VLOOKUP(B23,参加者登録申込書!$CB$21:$CC$60,2,0)</f>
        <v/>
      </c>
      <c r="J23" s="286" t="str">
        <f>VLOOKUP(B23,参加者登録申込書!$CB$21:$CD$60,3,0)</f>
        <v/>
      </c>
      <c r="K23" s="286" t="str">
        <f>VLOOKUP(B23,参加者登録申込書!$CB$21:$CE$60,4,0)</f>
        <v/>
      </c>
      <c r="L23" s="286" t="str">
        <f>VLOOKUP(B23,参加者登録申込書!$CB$21:$CF$60,5,0)</f>
        <v/>
      </c>
      <c r="M23" s="149"/>
      <c r="N23" s="288" t="str">
        <f>VLOOKUP(B23,参加者登録申込書!$CB$21:$CI$60,8,0)</f>
        <v/>
      </c>
      <c r="O23" s="286" t="str">
        <f>VLOOKUP(B23,参加者登録申込書!$CB$21:$CJ$60,9,0)</f>
        <v/>
      </c>
      <c r="P23" s="145"/>
      <c r="Q23" s="146"/>
      <c r="R23" s="290" t="str">
        <f t="shared" ref="R23:R39" si="14">AS23</f>
        <v/>
      </c>
      <c r="T23" s="58" t="b">
        <v>0</v>
      </c>
      <c r="U23" s="10">
        <f t="shared" ref="U23:U36" si="15">IF(B23=$AA$22,IF(E23="選手",1,0),1)</f>
        <v>1</v>
      </c>
      <c r="V23" s="10">
        <f t="shared" si="0"/>
        <v>1</v>
      </c>
      <c r="W23" s="223" t="str">
        <f>VLOOKUP(B23,参加者登録申込書!$CB$21:$CP$59,15,0)</f>
        <v>（今回登録）</v>
      </c>
      <c r="X23" s="7" t="s">
        <v>298</v>
      </c>
      <c r="Y23" s="7" t="str">
        <f t="shared" si="1"/>
        <v>選択なし</v>
      </c>
      <c r="AB23" s="5" t="str">
        <f t="shared" ref="AB23:AB37" si="16">IF(AND(TRIM(D23)&lt;&gt;"",TRIM(E23)&lt;&gt;""),$AG$19,"スタッフ選択15")</f>
        <v>スタッフ選択15</v>
      </c>
      <c r="AI23" s="7" t="str">
        <f t="shared" si="2"/>
        <v/>
      </c>
      <c r="AJ23" s="7" t="str">
        <f t="shared" si="3"/>
        <v/>
      </c>
      <c r="AK23" s="7" t="str">
        <f t="shared" si="4"/>
        <v/>
      </c>
      <c r="AL23" s="8" t="str">
        <f t="shared" si="5"/>
        <v/>
      </c>
      <c r="AM23" s="9" t="str">
        <f t="shared" si="6"/>
        <v/>
      </c>
      <c r="AN23" s="7" t="str">
        <f t="shared" si="7"/>
        <v>　</v>
      </c>
      <c r="AO23" s="389" t="str">
        <f t="shared" ref="AO23:AO39" si="17">IF(G23="","",G23)</f>
        <v/>
      </c>
      <c r="AP23" s="16">
        <f t="shared" si="8"/>
        <v>0</v>
      </c>
      <c r="AQ23" s="16">
        <f t="shared" si="9"/>
        <v>0</v>
      </c>
      <c r="AR23" s="224">
        <f t="shared" ref="AR23:AR39" si="18">IF(AND(AQ23=1,AP23=1),IF(W23="早期割引会員",11,1),IF(AND(AQ23=1,AP23=3),IF(W23="早期割引会員",12,2),IF(AND(AQ23=2,OR(AP23=1,AP23=2)),IF(W23="早期割引会員",13,3),IF(AND(AQ23=2,AP23=3),IF(W23="早期割引会員",14,4),0))))</f>
        <v>0</v>
      </c>
      <c r="AS23" s="223" t="str">
        <f t="shared" ref="AS23:AS39" si="19">IF(AU23="","",IF(W23="早期割引会員",(AU23-500),AU23))</f>
        <v/>
      </c>
      <c r="AT23" s="16">
        <f t="shared" si="10"/>
        <v>1</v>
      </c>
      <c r="AU23" s="225" t="str">
        <f>IF(AND(AP23&gt;0,AQ23&gt;0),INDEX(MY_MATRIX!$D$8:E11,②選手登録名簿!AP23,②選手登録名簿!AQ23),"")</f>
        <v/>
      </c>
      <c r="AV23" t="s">
        <v>55</v>
      </c>
      <c r="AW23" s="10" t="str">
        <f>IF(COUNT(AJ22:AJ39)&lt;&gt;1,"",INDEX(AN22:AN39,SMALL(AJ22:AJ39,1)-ROW(A22)+1))</f>
        <v/>
      </c>
      <c r="AY23" s="10" t="str">
        <f>IF(COUNT(AJ22:AJ39)&lt;&gt;1,"",INDEX(AS22:AS39,SMALL(AJ22:AJ39,1)-ROW(A22)+1))</f>
        <v/>
      </c>
      <c r="AZ23">
        <f>IF(AW23&lt;&gt;"",IF(ISNA(VLOOKUP(AW23,$AW$26:$AY$39,3,0)),0,1),0)</f>
        <v>0</v>
      </c>
      <c r="BD23" s="10" t="str">
        <f t="shared" si="11"/>
        <v>　</v>
      </c>
      <c r="BE23" s="67"/>
      <c r="BF23" s="10">
        <f t="shared" si="12"/>
        <v>1</v>
      </c>
      <c r="BH23" s="10">
        <f t="shared" si="13"/>
        <v>1</v>
      </c>
      <c r="BJ23" s="116" t="b">
        <v>0</v>
      </c>
      <c r="BK23">
        <f t="shared" ref="BK23:BK39" si="20">IF(AND(AQ23&lt;&gt;1,BJ23=TRUE),1,0)</f>
        <v>0</v>
      </c>
    </row>
    <row r="24" spans="2:63" ht="26.1" customHeight="1" x14ac:dyDescent="0.15">
      <c r="B24" s="105">
        <v>3</v>
      </c>
      <c r="C24" s="149"/>
      <c r="D24" s="286" t="str">
        <f>VLOOKUP(B24,参加者登録申込書!$CB$21:$CH$59,7,0)</f>
        <v/>
      </c>
      <c r="E24" s="151"/>
      <c r="F24" s="151"/>
      <c r="G24" s="152"/>
      <c r="H24" s="149"/>
      <c r="I24" s="286" t="str">
        <f>VLOOKUP(B24,参加者登録申込書!$CB$21:$CC$60,2,0)</f>
        <v/>
      </c>
      <c r="J24" s="286" t="str">
        <f>VLOOKUP(B24,参加者登録申込書!$CB$21:$CD$60,3,0)</f>
        <v/>
      </c>
      <c r="K24" s="286" t="str">
        <f>VLOOKUP(B24,参加者登録申込書!$CB$21:$CE$60,4,0)</f>
        <v/>
      </c>
      <c r="L24" s="286" t="str">
        <f>VLOOKUP(B24,参加者登録申込書!$CB$21:$CF$60,5,0)</f>
        <v/>
      </c>
      <c r="M24" s="149"/>
      <c r="N24" s="288" t="str">
        <f>VLOOKUP(B24,参加者登録申込書!$CB$21:$CI$60,8,0)</f>
        <v/>
      </c>
      <c r="O24" s="286" t="str">
        <f>VLOOKUP(B24,参加者登録申込書!$CB$21:$CJ$60,9,0)</f>
        <v/>
      </c>
      <c r="P24" s="145"/>
      <c r="Q24" s="146"/>
      <c r="R24" s="290" t="str">
        <f t="shared" si="14"/>
        <v/>
      </c>
      <c r="T24" s="58" t="b">
        <v>0</v>
      </c>
      <c r="U24" s="10">
        <f t="shared" si="15"/>
        <v>1</v>
      </c>
      <c r="V24" s="10">
        <f t="shared" si="0"/>
        <v>1</v>
      </c>
      <c r="W24" s="223" t="str">
        <f>VLOOKUP(B24,参加者登録申込書!$CB$21:$CP$59,15,0)</f>
        <v>（今回登録）</v>
      </c>
      <c r="X24" s="7" t="s">
        <v>298</v>
      </c>
      <c r="Y24" s="7" t="str">
        <f t="shared" si="1"/>
        <v>選択なし</v>
      </c>
      <c r="AA24" s="15" t="s">
        <v>88</v>
      </c>
      <c r="AB24" s="5" t="str">
        <f t="shared" si="16"/>
        <v>スタッフ選択15</v>
      </c>
      <c r="AI24" s="7" t="str">
        <f t="shared" si="2"/>
        <v/>
      </c>
      <c r="AJ24" s="7" t="str">
        <f t="shared" si="3"/>
        <v/>
      </c>
      <c r="AK24" s="7" t="str">
        <f t="shared" si="4"/>
        <v/>
      </c>
      <c r="AL24" s="8" t="str">
        <f t="shared" si="5"/>
        <v/>
      </c>
      <c r="AM24" s="9" t="str">
        <f t="shared" si="6"/>
        <v/>
      </c>
      <c r="AN24" s="7" t="str">
        <f t="shared" si="7"/>
        <v>　</v>
      </c>
      <c r="AO24" s="389" t="str">
        <f t="shared" si="17"/>
        <v/>
      </c>
      <c r="AP24" s="16">
        <f t="shared" si="8"/>
        <v>0</v>
      </c>
      <c r="AQ24" s="16">
        <f t="shared" si="9"/>
        <v>0</v>
      </c>
      <c r="AR24" s="224">
        <f t="shared" si="18"/>
        <v>0</v>
      </c>
      <c r="AS24" s="223" t="str">
        <f t="shared" si="19"/>
        <v/>
      </c>
      <c r="AT24" s="16">
        <f t="shared" si="10"/>
        <v>1</v>
      </c>
      <c r="AU24" s="225" t="str">
        <f>IF(AND(AP24&gt;0,AQ24&gt;0),INDEX(MY_MATRIX!$D$8:E12,②選手登録名簿!AP24,②選手登録名簿!AQ24),"")</f>
        <v/>
      </c>
      <c r="AV24" t="s">
        <v>57</v>
      </c>
      <c r="AW24" s="10" t="str">
        <f>IF(COUNT(AK22:AK39)&lt;&gt;1,"",INDEX(AN22:AN39,SMALL(AK22:AK39,1)-ROW(A22)+1))</f>
        <v/>
      </c>
      <c r="AY24" s="10" t="str">
        <f>IF(COUNT(AK22:AK39)&lt;&gt;1,"",INDEX(AS22:AS39,SMALL(AK22:AK39,1)-ROW(A22)+1))</f>
        <v/>
      </c>
      <c r="AZ24">
        <f>IF(AW24&lt;&gt;"",IF(ISNA(VLOOKUP(AW24,$AW$26:$AY$39,3,0)),0,1),0)</f>
        <v>0</v>
      </c>
      <c r="BD24" s="10" t="str">
        <f t="shared" si="11"/>
        <v>　</v>
      </c>
      <c r="BE24" s="67"/>
      <c r="BF24" s="10">
        <f t="shared" si="12"/>
        <v>1</v>
      </c>
      <c r="BH24" s="10">
        <f t="shared" si="13"/>
        <v>1</v>
      </c>
      <c r="BJ24" s="116" t="b">
        <v>0</v>
      </c>
      <c r="BK24">
        <f t="shared" si="20"/>
        <v>0</v>
      </c>
    </row>
    <row r="25" spans="2:63" ht="26.1" customHeight="1" x14ac:dyDescent="0.15">
      <c r="B25" s="105">
        <v>4</v>
      </c>
      <c r="C25" s="149"/>
      <c r="D25" s="286" t="str">
        <f>VLOOKUP(B25,参加者登録申込書!$CB$21:$CH$59,7,0)</f>
        <v/>
      </c>
      <c r="E25" s="151"/>
      <c r="F25" s="151"/>
      <c r="G25" s="152"/>
      <c r="H25" s="149"/>
      <c r="I25" s="286" t="str">
        <f>VLOOKUP(B25,参加者登録申込書!$CB$21:$CC$60,2,0)</f>
        <v/>
      </c>
      <c r="J25" s="286" t="str">
        <f>VLOOKUP(B25,参加者登録申込書!$CB$21:$CD$60,3,0)</f>
        <v/>
      </c>
      <c r="K25" s="286" t="str">
        <f>VLOOKUP(B25,参加者登録申込書!$CB$21:$CE$60,4,0)</f>
        <v/>
      </c>
      <c r="L25" s="286" t="str">
        <f>VLOOKUP(B25,参加者登録申込書!$CB$21:$CF$60,5,0)</f>
        <v/>
      </c>
      <c r="M25" s="149"/>
      <c r="N25" s="288" t="str">
        <f>VLOOKUP(B25,参加者登録申込書!$CB$21:$CI$60,8,0)</f>
        <v/>
      </c>
      <c r="O25" s="286" t="str">
        <f>VLOOKUP(B25,参加者登録申込書!$CB$21:$CJ$60,9,0)</f>
        <v/>
      </c>
      <c r="P25" s="145"/>
      <c r="Q25" s="146"/>
      <c r="R25" s="290" t="str">
        <f t="shared" si="14"/>
        <v/>
      </c>
      <c r="T25" s="58" t="b">
        <v>0</v>
      </c>
      <c r="U25" s="10">
        <f t="shared" si="15"/>
        <v>1</v>
      </c>
      <c r="V25" s="10">
        <f t="shared" si="0"/>
        <v>1</v>
      </c>
      <c r="W25" s="223" t="str">
        <f>VLOOKUP(B25,参加者登録申込書!$CB$21:$CP$59,15,0)</f>
        <v>（今回登録）</v>
      </c>
      <c r="X25" s="7" t="s">
        <v>298</v>
      </c>
      <c r="Y25" s="7" t="str">
        <f t="shared" si="1"/>
        <v>選択なし</v>
      </c>
      <c r="AA25" s="9" t="str">
        <f>IF(OR(AA22=0,AA22=19),"",INDEX(G22:G39,AA22))</f>
        <v/>
      </c>
      <c r="AB25" s="5" t="str">
        <f t="shared" si="16"/>
        <v>スタッフ選択15</v>
      </c>
      <c r="AI25" s="7" t="str">
        <f t="shared" si="2"/>
        <v/>
      </c>
      <c r="AJ25" s="7" t="str">
        <f t="shared" si="3"/>
        <v/>
      </c>
      <c r="AK25" s="7" t="str">
        <f t="shared" si="4"/>
        <v/>
      </c>
      <c r="AL25" s="8" t="str">
        <f t="shared" si="5"/>
        <v/>
      </c>
      <c r="AM25" s="9" t="str">
        <f t="shared" si="6"/>
        <v/>
      </c>
      <c r="AN25" s="7" t="str">
        <f t="shared" si="7"/>
        <v>　</v>
      </c>
      <c r="AO25" s="389" t="str">
        <f t="shared" si="17"/>
        <v/>
      </c>
      <c r="AP25" s="16">
        <f t="shared" si="8"/>
        <v>0</v>
      </c>
      <c r="AQ25" s="16">
        <f t="shared" si="9"/>
        <v>0</v>
      </c>
      <c r="AR25" s="224">
        <f t="shared" si="18"/>
        <v>0</v>
      </c>
      <c r="AS25" s="223" t="str">
        <f t="shared" si="19"/>
        <v/>
      </c>
      <c r="AT25" s="16">
        <f t="shared" si="10"/>
        <v>1</v>
      </c>
      <c r="AU25" s="225" t="str">
        <f>IF(AND(AP25&gt;0,AQ25&gt;0),INDEX(MY_MATRIX!$D$8:E13,②選手登録名簿!AP25,②選手登録名簿!AQ25),"")</f>
        <v/>
      </c>
      <c r="AV25" t="s">
        <v>57</v>
      </c>
      <c r="AW25" s="10" t="str">
        <f>IF(COUNT(AL22:AL39)&lt;&gt;1,"",INDEX(AN22:AN39,SMALL(AL22:AL39,1)-ROW(A22)+1))</f>
        <v/>
      </c>
      <c r="AY25" s="10" t="str">
        <f>IF(COUNT(AL22:AL39)&lt;&gt;1,"",INDEX(AS22:AS39,SMALL(AL22:AL39,1)-ROW(A22)+1))</f>
        <v/>
      </c>
      <c r="AZ25">
        <f>IF(AW25&lt;&gt;"",IF(ISNA(VLOOKUP(AW25,$AW$26:$AY$39,3,0)),0,1),0)</f>
        <v>0</v>
      </c>
      <c r="BA25" s="30"/>
      <c r="BB25" s="30"/>
      <c r="BD25" s="10" t="str">
        <f t="shared" si="11"/>
        <v>　</v>
      </c>
      <c r="BE25" s="67"/>
      <c r="BF25" s="10">
        <f t="shared" si="12"/>
        <v>1</v>
      </c>
      <c r="BH25" s="10">
        <f t="shared" si="13"/>
        <v>1</v>
      </c>
      <c r="BJ25" s="116" t="b">
        <v>0</v>
      </c>
      <c r="BK25">
        <f t="shared" si="20"/>
        <v>0</v>
      </c>
    </row>
    <row r="26" spans="2:63" ht="26.1" customHeight="1" x14ac:dyDescent="0.15">
      <c r="B26" s="105">
        <v>5</v>
      </c>
      <c r="C26" s="149"/>
      <c r="D26" s="286" t="str">
        <f>VLOOKUP(B26,参加者登録申込書!$CB$21:$CH$59,7,0)</f>
        <v/>
      </c>
      <c r="E26" s="151"/>
      <c r="F26" s="151"/>
      <c r="G26" s="152"/>
      <c r="H26" s="149"/>
      <c r="I26" s="286" t="str">
        <f>VLOOKUP(B26,参加者登録申込書!$CB$21:$CC$60,2,0)</f>
        <v/>
      </c>
      <c r="J26" s="286" t="str">
        <f>VLOOKUP(B26,参加者登録申込書!$CB$21:$CD$60,3,0)</f>
        <v/>
      </c>
      <c r="K26" s="286" t="str">
        <f>VLOOKUP(B26,参加者登録申込書!$CB$21:$CE$60,4,0)</f>
        <v/>
      </c>
      <c r="L26" s="286" t="str">
        <f>VLOOKUP(B26,参加者登録申込書!$CB$21:$CF$60,5,0)</f>
        <v/>
      </c>
      <c r="M26" s="149"/>
      <c r="N26" s="288" t="str">
        <f>VLOOKUP(B26,参加者登録申込書!$CB$21:$CI$60,8,0)</f>
        <v/>
      </c>
      <c r="O26" s="286" t="str">
        <f>VLOOKUP(B26,参加者登録申込書!$CB$21:$CJ$60,9,0)</f>
        <v/>
      </c>
      <c r="P26" s="145"/>
      <c r="Q26" s="146"/>
      <c r="R26" s="290" t="str">
        <f t="shared" si="14"/>
        <v/>
      </c>
      <c r="T26" s="58" t="b">
        <v>0</v>
      </c>
      <c r="U26" s="10">
        <f t="shared" si="15"/>
        <v>1</v>
      </c>
      <c r="V26" s="10">
        <f t="shared" si="0"/>
        <v>1</v>
      </c>
      <c r="W26" s="223" t="str">
        <f>VLOOKUP(B26,参加者登録申込書!$CB$21:$CP$59,15,0)</f>
        <v>（今回登録）</v>
      </c>
      <c r="X26" s="7" t="s">
        <v>298</v>
      </c>
      <c r="Y26" s="7" t="str">
        <f t="shared" si="1"/>
        <v>選択なし</v>
      </c>
      <c r="AB26" s="5" t="str">
        <f t="shared" si="16"/>
        <v>スタッフ選択15</v>
      </c>
      <c r="AI26" s="7" t="str">
        <f t="shared" si="2"/>
        <v/>
      </c>
      <c r="AJ26" s="7" t="str">
        <f t="shared" si="3"/>
        <v/>
      </c>
      <c r="AK26" s="7" t="str">
        <f t="shared" si="4"/>
        <v/>
      </c>
      <c r="AL26" s="8" t="str">
        <f t="shared" si="5"/>
        <v/>
      </c>
      <c r="AM26" s="9" t="str">
        <f t="shared" si="6"/>
        <v/>
      </c>
      <c r="AN26" s="7" t="str">
        <f t="shared" si="7"/>
        <v>　</v>
      </c>
      <c r="AO26" s="389" t="str">
        <f t="shared" si="17"/>
        <v/>
      </c>
      <c r="AP26" s="16">
        <f t="shared" si="8"/>
        <v>0</v>
      </c>
      <c r="AQ26" s="16">
        <f t="shared" si="9"/>
        <v>0</v>
      </c>
      <c r="AR26" s="224">
        <f t="shared" si="18"/>
        <v>0</v>
      </c>
      <c r="AS26" s="223" t="str">
        <f t="shared" si="19"/>
        <v/>
      </c>
      <c r="AT26" s="16">
        <f t="shared" si="10"/>
        <v>1</v>
      </c>
      <c r="AU26" s="225" t="str">
        <f>IF(AND(AP26&gt;0,AQ26&gt;0),INDEX(MY_MATRIX!$D$8:E14,②選手登録名簿!AP26,②選手登録名簿!AQ26),"")</f>
        <v/>
      </c>
      <c r="AV26" t="s">
        <v>58</v>
      </c>
      <c r="AW26" s="10" t="str">
        <f>IF(COUNT($AM$22:$AM$39)&lt;ROW(A1),"",INDEX($AN$22:$AN$39,SMALL($AM$22:$AM$39,ROW(A1))-ROW($A$22)+1))</f>
        <v/>
      </c>
      <c r="AX26" s="20" t="str">
        <f>IF(COUNT($AM$22:$AM$39)&lt;ROW(A1),"",INDEX($AO$22:$AO$39,SMALL($AM$22:$AM$39,ROW(A1))-ROW($A$22)+1))</f>
        <v/>
      </c>
      <c r="AY26" s="10" t="str">
        <f t="shared" ref="AY26:AY38" si="21">IF(COUNT($AM$22:$AM$39)&lt;ROW(A1),"",INDEX($AS$22:$AS$39,SMALL($AM$22:$AM$39,ROW(A1))-ROW($A$22)+1))</f>
        <v/>
      </c>
      <c r="AZ26" s="10" t="str">
        <f>IF(COUNT($AM$22:$AM$39)&lt;ROW(A1),"",INDEX($BD$22:$BD$39,SMALL($AM$22:$AM$39,ROW(A1))-ROW($A$22)+1))</f>
        <v/>
      </c>
      <c r="BA26" s="10" t="str">
        <f t="shared" ref="BA26:BA39" si="22">IF(COUNT($AM$22:$AM$39)&lt;ROW(A1),"",INDEX($O$22:$O$39,SMALL($AM$22:$AM$39,ROW(A1))-ROW($A$22)+1))</f>
        <v/>
      </c>
      <c r="BB26" s="10" t="str">
        <f t="shared" ref="BB26:BB39" si="23">IF(COUNT($AM$22:$AM$39)&lt;ROW(A1),"",INDEX($P$22:$P$39,SMALL($AM$22:$AM$39,ROW(A1))-ROW($A$22)+1))</f>
        <v/>
      </c>
      <c r="BD26" s="10" t="str">
        <f t="shared" si="11"/>
        <v>　</v>
      </c>
      <c r="BE26" s="67"/>
      <c r="BF26" s="10">
        <f t="shared" si="12"/>
        <v>1</v>
      </c>
      <c r="BH26" s="10">
        <f t="shared" si="13"/>
        <v>1</v>
      </c>
      <c r="BJ26" s="116" t="b">
        <v>0</v>
      </c>
      <c r="BK26">
        <f t="shared" si="20"/>
        <v>0</v>
      </c>
    </row>
    <row r="27" spans="2:63" ht="26.1" customHeight="1" x14ac:dyDescent="0.15">
      <c r="B27" s="105">
        <v>6</v>
      </c>
      <c r="C27" s="149"/>
      <c r="D27" s="286" t="str">
        <f>VLOOKUP(B27,参加者登録申込書!$CB$21:$CH$59,7,0)</f>
        <v/>
      </c>
      <c r="E27" s="151"/>
      <c r="F27" s="151"/>
      <c r="G27" s="152"/>
      <c r="H27" s="149"/>
      <c r="I27" s="286" t="str">
        <f>VLOOKUP(B27,参加者登録申込書!$CB$21:$CC$60,2,0)</f>
        <v/>
      </c>
      <c r="J27" s="286" t="str">
        <f>VLOOKUP(B27,参加者登録申込書!$CB$21:$CD$60,3,0)</f>
        <v/>
      </c>
      <c r="K27" s="286" t="str">
        <f>VLOOKUP(B27,参加者登録申込書!$CB$21:$CE$60,4,0)</f>
        <v/>
      </c>
      <c r="L27" s="286" t="str">
        <f>VLOOKUP(B27,参加者登録申込書!$CB$21:$CF$60,5,0)</f>
        <v/>
      </c>
      <c r="M27" s="149"/>
      <c r="N27" s="288" t="str">
        <f>VLOOKUP(B27,参加者登録申込書!$CB$21:$CI$60,8,0)</f>
        <v/>
      </c>
      <c r="O27" s="286" t="str">
        <f>VLOOKUP(B27,参加者登録申込書!$CB$21:$CJ$60,9,0)</f>
        <v/>
      </c>
      <c r="P27" s="145"/>
      <c r="Q27" s="146"/>
      <c r="R27" s="290" t="str">
        <f t="shared" si="14"/>
        <v/>
      </c>
      <c r="T27" s="58" t="b">
        <v>0</v>
      </c>
      <c r="U27" s="10">
        <f t="shared" si="15"/>
        <v>1</v>
      </c>
      <c r="V27" s="10">
        <f t="shared" si="0"/>
        <v>1</v>
      </c>
      <c r="W27" s="223" t="str">
        <f>VLOOKUP(B27,参加者登録申込書!$CB$21:$CP$59,15,0)</f>
        <v>（今回登録）</v>
      </c>
      <c r="X27" s="7" t="s">
        <v>298</v>
      </c>
      <c r="Y27" s="7" t="str">
        <f t="shared" si="1"/>
        <v>選択なし</v>
      </c>
      <c r="AB27" s="5" t="str">
        <f t="shared" si="16"/>
        <v>スタッフ選択15</v>
      </c>
      <c r="AI27" s="7" t="str">
        <f t="shared" si="2"/>
        <v/>
      </c>
      <c r="AJ27" s="7" t="str">
        <f t="shared" si="3"/>
        <v/>
      </c>
      <c r="AK27" s="7" t="str">
        <f t="shared" si="4"/>
        <v/>
      </c>
      <c r="AL27" s="8" t="str">
        <f t="shared" si="5"/>
        <v/>
      </c>
      <c r="AM27" s="9" t="str">
        <f t="shared" si="6"/>
        <v/>
      </c>
      <c r="AN27" s="7" t="str">
        <f t="shared" si="7"/>
        <v>　</v>
      </c>
      <c r="AO27" s="389" t="str">
        <f t="shared" si="17"/>
        <v/>
      </c>
      <c r="AP27" s="16">
        <f t="shared" si="8"/>
        <v>0</v>
      </c>
      <c r="AQ27" s="16">
        <f t="shared" si="9"/>
        <v>0</v>
      </c>
      <c r="AR27" s="224">
        <f t="shared" si="18"/>
        <v>0</v>
      </c>
      <c r="AS27" s="223" t="str">
        <f t="shared" si="19"/>
        <v/>
      </c>
      <c r="AT27" s="16">
        <f t="shared" si="10"/>
        <v>1</v>
      </c>
      <c r="AU27" s="225" t="str">
        <f>IF(AND(AP27&gt;0,AQ27&gt;0),INDEX(MY_MATRIX!$D$8:E15,②選手登録名簿!AP27,②選手登録名簿!AQ27),"")</f>
        <v/>
      </c>
      <c r="AV27" t="s">
        <v>59</v>
      </c>
      <c r="AW27" s="10" t="str">
        <f t="shared" ref="AW27:AW39" si="24">IF(COUNT($AM$22:$AM$39)&lt;ROW(A2),"",INDEX($AN$22:$AN$39,SMALL($AM$22:$AM$39,ROW(A2))-ROW($A$22)+1))</f>
        <v/>
      </c>
      <c r="AX27" s="20" t="str">
        <f t="shared" ref="AX27:AX39" si="25">IF(COUNT($AM$22:$AM$39)&lt;ROW(A2),"",INDEX($AO$22:$AO$39,SMALL($AM$22:$AM$39,ROW(A2))-ROW($A$22)+1))</f>
        <v/>
      </c>
      <c r="AY27" s="10" t="str">
        <f t="shared" si="21"/>
        <v/>
      </c>
      <c r="AZ27" s="10" t="str">
        <f t="shared" ref="AZ27:AZ39" si="26">IF(COUNT($AM$22:$AM$39)&lt;ROW(A2),"",INDEX($BD$22:$BD$39,SMALL($AM$22:$AM$39,ROW(A2))-ROW($A$22)+1))</f>
        <v/>
      </c>
      <c r="BA27" s="10" t="str">
        <f t="shared" si="22"/>
        <v/>
      </c>
      <c r="BB27" s="10" t="str">
        <f t="shared" si="23"/>
        <v/>
      </c>
      <c r="BD27" s="10" t="str">
        <f t="shared" si="11"/>
        <v>　</v>
      </c>
      <c r="BE27" s="67"/>
      <c r="BF27" s="10">
        <f t="shared" si="12"/>
        <v>1</v>
      </c>
      <c r="BH27" s="10">
        <f t="shared" si="13"/>
        <v>1</v>
      </c>
      <c r="BJ27" s="116" t="b">
        <v>0</v>
      </c>
      <c r="BK27">
        <f t="shared" si="20"/>
        <v>0</v>
      </c>
    </row>
    <row r="28" spans="2:63" ht="26.1" customHeight="1" x14ac:dyDescent="0.15">
      <c r="B28" s="105">
        <v>7</v>
      </c>
      <c r="C28" s="149"/>
      <c r="D28" s="286" t="str">
        <f>VLOOKUP(B28,参加者登録申込書!$CB$21:$CH$59,7,0)</f>
        <v/>
      </c>
      <c r="E28" s="151"/>
      <c r="F28" s="151"/>
      <c r="G28" s="152"/>
      <c r="H28" s="149"/>
      <c r="I28" s="286" t="str">
        <f>VLOOKUP(B28,参加者登録申込書!$CB$21:$CC$60,2,0)</f>
        <v/>
      </c>
      <c r="J28" s="286" t="str">
        <f>VLOOKUP(B28,参加者登録申込書!$CB$21:$CD$60,3,0)</f>
        <v/>
      </c>
      <c r="K28" s="286" t="str">
        <f>VLOOKUP(B28,参加者登録申込書!$CB$21:$CE$60,4,0)</f>
        <v/>
      </c>
      <c r="L28" s="286" t="str">
        <f>VLOOKUP(B28,参加者登録申込書!$CB$21:$CF$60,5,0)</f>
        <v/>
      </c>
      <c r="M28" s="149"/>
      <c r="N28" s="288" t="str">
        <f>VLOOKUP(B28,参加者登録申込書!$CB$21:$CI$60,8,0)</f>
        <v/>
      </c>
      <c r="O28" s="286" t="str">
        <f>VLOOKUP(B28,参加者登録申込書!$CB$21:$CJ$60,9,0)</f>
        <v/>
      </c>
      <c r="P28" s="145"/>
      <c r="Q28" s="146"/>
      <c r="R28" s="290" t="str">
        <f t="shared" si="14"/>
        <v/>
      </c>
      <c r="T28" s="58" t="b">
        <v>0</v>
      </c>
      <c r="U28" s="10">
        <f t="shared" si="15"/>
        <v>1</v>
      </c>
      <c r="V28" s="10">
        <f t="shared" si="0"/>
        <v>1</v>
      </c>
      <c r="W28" s="223" t="str">
        <f>VLOOKUP(B28,参加者登録申込書!$CB$21:$CP$59,15,0)</f>
        <v>（今回登録）</v>
      </c>
      <c r="X28" s="7" t="s">
        <v>298</v>
      </c>
      <c r="Y28" s="7" t="str">
        <f t="shared" si="1"/>
        <v>選択なし</v>
      </c>
      <c r="AB28" s="5" t="str">
        <f t="shared" si="16"/>
        <v>スタッフ選択15</v>
      </c>
      <c r="AI28" s="7" t="str">
        <f t="shared" si="2"/>
        <v/>
      </c>
      <c r="AJ28" s="7" t="str">
        <f t="shared" si="3"/>
        <v/>
      </c>
      <c r="AK28" s="7" t="str">
        <f t="shared" si="4"/>
        <v/>
      </c>
      <c r="AL28" s="8" t="str">
        <f t="shared" si="5"/>
        <v/>
      </c>
      <c r="AM28" s="9" t="str">
        <f t="shared" si="6"/>
        <v/>
      </c>
      <c r="AN28" s="7" t="str">
        <f t="shared" si="7"/>
        <v>　</v>
      </c>
      <c r="AO28" s="389" t="str">
        <f t="shared" si="17"/>
        <v/>
      </c>
      <c r="AP28" s="16">
        <f t="shared" si="8"/>
        <v>0</v>
      </c>
      <c r="AQ28" s="16">
        <f t="shared" si="9"/>
        <v>0</v>
      </c>
      <c r="AR28" s="224">
        <f t="shared" si="18"/>
        <v>0</v>
      </c>
      <c r="AS28" s="223" t="str">
        <f t="shared" si="19"/>
        <v/>
      </c>
      <c r="AT28" s="16">
        <f t="shared" si="10"/>
        <v>1</v>
      </c>
      <c r="AU28" s="225" t="str">
        <f>IF(AND(AP28&gt;0,AQ28&gt;0),INDEX(MY_MATRIX!$D$8:E16,②選手登録名簿!AP28,②選手登録名簿!AQ28),"")</f>
        <v/>
      </c>
      <c r="AV28" t="s">
        <v>60</v>
      </c>
      <c r="AW28" s="10" t="str">
        <f t="shared" si="24"/>
        <v/>
      </c>
      <c r="AX28" s="20" t="str">
        <f t="shared" si="25"/>
        <v/>
      </c>
      <c r="AY28" s="10" t="str">
        <f t="shared" si="21"/>
        <v/>
      </c>
      <c r="AZ28" s="10" t="str">
        <f t="shared" si="26"/>
        <v/>
      </c>
      <c r="BA28" s="10" t="str">
        <f t="shared" si="22"/>
        <v/>
      </c>
      <c r="BB28" s="10" t="str">
        <f t="shared" si="23"/>
        <v/>
      </c>
      <c r="BD28" s="10" t="str">
        <f t="shared" si="11"/>
        <v>　</v>
      </c>
      <c r="BE28" s="67"/>
      <c r="BF28" s="10">
        <f t="shared" si="12"/>
        <v>1</v>
      </c>
      <c r="BH28" s="10">
        <f t="shared" si="13"/>
        <v>1</v>
      </c>
      <c r="BJ28" s="116" t="b">
        <v>0</v>
      </c>
      <c r="BK28">
        <f t="shared" si="20"/>
        <v>0</v>
      </c>
    </row>
    <row r="29" spans="2:63" ht="26.1" customHeight="1" x14ac:dyDescent="0.15">
      <c r="B29" s="105">
        <v>8</v>
      </c>
      <c r="C29" s="149"/>
      <c r="D29" s="286" t="str">
        <f>VLOOKUP(B29,参加者登録申込書!$CB$21:$CH$59,7,0)</f>
        <v/>
      </c>
      <c r="E29" s="151"/>
      <c r="F29" s="151"/>
      <c r="G29" s="152"/>
      <c r="H29" s="149"/>
      <c r="I29" s="286" t="str">
        <f>VLOOKUP(B29,参加者登録申込書!$CB$21:$CC$60,2,0)</f>
        <v/>
      </c>
      <c r="J29" s="286" t="str">
        <f>VLOOKUP(B29,参加者登録申込書!$CB$21:$CD$60,3,0)</f>
        <v/>
      </c>
      <c r="K29" s="286" t="str">
        <f>VLOOKUP(B29,参加者登録申込書!$CB$21:$CE$60,4,0)</f>
        <v/>
      </c>
      <c r="L29" s="286" t="str">
        <f>VLOOKUP(B29,参加者登録申込書!$CB$21:$CF$60,5,0)</f>
        <v/>
      </c>
      <c r="M29" s="149"/>
      <c r="N29" s="288" t="str">
        <f>VLOOKUP(B29,参加者登録申込書!$CB$21:$CI$60,8,0)</f>
        <v/>
      </c>
      <c r="O29" s="286" t="str">
        <f>VLOOKUP(B29,参加者登録申込書!$CB$21:$CJ$60,9,0)</f>
        <v/>
      </c>
      <c r="P29" s="145"/>
      <c r="Q29" s="146"/>
      <c r="R29" s="290" t="str">
        <f t="shared" si="14"/>
        <v/>
      </c>
      <c r="T29" s="58" t="b">
        <v>0</v>
      </c>
      <c r="U29" s="10">
        <f t="shared" si="15"/>
        <v>1</v>
      </c>
      <c r="V29" s="10">
        <f t="shared" si="0"/>
        <v>1</v>
      </c>
      <c r="W29" s="223" t="str">
        <f>VLOOKUP(B29,参加者登録申込書!$CB$21:$CP$59,15,0)</f>
        <v>（今回登録）</v>
      </c>
      <c r="X29" s="7" t="s">
        <v>298</v>
      </c>
      <c r="Y29" s="7" t="str">
        <f t="shared" si="1"/>
        <v>選択なし</v>
      </c>
      <c r="AB29" s="5" t="str">
        <f t="shared" si="16"/>
        <v>スタッフ選択15</v>
      </c>
      <c r="AI29" s="7" t="str">
        <f t="shared" si="2"/>
        <v/>
      </c>
      <c r="AJ29" s="7" t="str">
        <f t="shared" si="3"/>
        <v/>
      </c>
      <c r="AK29" s="7" t="str">
        <f t="shared" si="4"/>
        <v/>
      </c>
      <c r="AL29" s="8" t="str">
        <f t="shared" si="5"/>
        <v/>
      </c>
      <c r="AM29" s="9" t="str">
        <f t="shared" si="6"/>
        <v/>
      </c>
      <c r="AN29" s="7" t="str">
        <f t="shared" si="7"/>
        <v>　</v>
      </c>
      <c r="AO29" s="389" t="str">
        <f t="shared" si="17"/>
        <v/>
      </c>
      <c r="AP29" s="16">
        <f t="shared" si="8"/>
        <v>0</v>
      </c>
      <c r="AQ29" s="16">
        <f t="shared" si="9"/>
        <v>0</v>
      </c>
      <c r="AR29" s="224">
        <f t="shared" si="18"/>
        <v>0</v>
      </c>
      <c r="AS29" s="223" t="str">
        <f t="shared" si="19"/>
        <v/>
      </c>
      <c r="AT29" s="16">
        <f t="shared" si="10"/>
        <v>1</v>
      </c>
      <c r="AU29" s="225" t="str">
        <f>IF(AND(AP29&gt;0,AQ29&gt;0),INDEX(MY_MATRIX!$D$8:E17,②選手登録名簿!AP29,②選手登録名簿!AQ29),"")</f>
        <v/>
      </c>
      <c r="AV29" t="s">
        <v>61</v>
      </c>
      <c r="AW29" s="10" t="str">
        <f t="shared" si="24"/>
        <v/>
      </c>
      <c r="AX29" s="20" t="str">
        <f t="shared" si="25"/>
        <v/>
      </c>
      <c r="AY29" s="10" t="str">
        <f t="shared" si="21"/>
        <v/>
      </c>
      <c r="AZ29" s="10" t="str">
        <f t="shared" si="26"/>
        <v/>
      </c>
      <c r="BA29" s="10" t="str">
        <f t="shared" si="22"/>
        <v/>
      </c>
      <c r="BB29" s="10" t="str">
        <f t="shared" si="23"/>
        <v/>
      </c>
      <c r="BD29" s="10" t="str">
        <f t="shared" si="11"/>
        <v>　</v>
      </c>
      <c r="BE29" s="67"/>
      <c r="BF29" s="10">
        <f t="shared" si="12"/>
        <v>1</v>
      </c>
      <c r="BH29" s="10">
        <f t="shared" si="13"/>
        <v>1</v>
      </c>
      <c r="BJ29" s="116" t="b">
        <v>0</v>
      </c>
      <c r="BK29">
        <f t="shared" si="20"/>
        <v>0</v>
      </c>
    </row>
    <row r="30" spans="2:63" ht="26.1" customHeight="1" x14ac:dyDescent="0.15">
      <c r="B30" s="105">
        <v>9</v>
      </c>
      <c r="C30" s="149"/>
      <c r="D30" s="286" t="str">
        <f>VLOOKUP(B30,参加者登録申込書!$CB$21:$CH$59,7,0)</f>
        <v/>
      </c>
      <c r="E30" s="151"/>
      <c r="F30" s="151"/>
      <c r="G30" s="152"/>
      <c r="H30" s="149"/>
      <c r="I30" s="286" t="str">
        <f>VLOOKUP(B30,参加者登録申込書!$CB$21:$CC$60,2,0)</f>
        <v/>
      </c>
      <c r="J30" s="286" t="str">
        <f>VLOOKUP(B30,参加者登録申込書!$CB$21:$CD$60,3,0)</f>
        <v/>
      </c>
      <c r="K30" s="286" t="str">
        <f>VLOOKUP(B30,参加者登録申込書!$CB$21:$CE$60,4,0)</f>
        <v/>
      </c>
      <c r="L30" s="286" t="str">
        <f>VLOOKUP(B30,参加者登録申込書!$CB$21:$CF$60,5,0)</f>
        <v/>
      </c>
      <c r="M30" s="149"/>
      <c r="N30" s="288" t="str">
        <f>VLOOKUP(B30,参加者登録申込書!$CB$21:$CI$60,8,0)</f>
        <v/>
      </c>
      <c r="O30" s="286" t="str">
        <f>VLOOKUP(B30,参加者登録申込書!$CB$21:$CJ$60,9,0)</f>
        <v/>
      </c>
      <c r="P30" s="145"/>
      <c r="Q30" s="146"/>
      <c r="R30" s="290" t="str">
        <f t="shared" si="14"/>
        <v/>
      </c>
      <c r="T30" s="58" t="b">
        <v>0</v>
      </c>
      <c r="U30" s="10">
        <f t="shared" si="15"/>
        <v>1</v>
      </c>
      <c r="V30" s="10">
        <f t="shared" si="0"/>
        <v>1</v>
      </c>
      <c r="W30" s="223" t="str">
        <f>VLOOKUP(B30,参加者登録申込書!$CB$21:$CP$59,15,0)</f>
        <v>（今回登録）</v>
      </c>
      <c r="X30" s="7" t="s">
        <v>298</v>
      </c>
      <c r="Y30" s="7" t="str">
        <f t="shared" si="1"/>
        <v>選択なし</v>
      </c>
      <c r="AB30" s="5" t="str">
        <f t="shared" si="16"/>
        <v>スタッフ選択15</v>
      </c>
      <c r="AI30" s="7" t="str">
        <f t="shared" si="2"/>
        <v/>
      </c>
      <c r="AJ30" s="7" t="str">
        <f t="shared" si="3"/>
        <v/>
      </c>
      <c r="AK30" s="7" t="str">
        <f t="shared" si="4"/>
        <v/>
      </c>
      <c r="AL30" s="8" t="str">
        <f t="shared" si="5"/>
        <v/>
      </c>
      <c r="AM30" s="9" t="str">
        <f t="shared" si="6"/>
        <v/>
      </c>
      <c r="AN30" s="7" t="str">
        <f t="shared" si="7"/>
        <v>　</v>
      </c>
      <c r="AO30" s="389" t="str">
        <f t="shared" si="17"/>
        <v/>
      </c>
      <c r="AP30" s="16">
        <f t="shared" si="8"/>
        <v>0</v>
      </c>
      <c r="AQ30" s="16">
        <f t="shared" si="9"/>
        <v>0</v>
      </c>
      <c r="AR30" s="224">
        <f t="shared" si="18"/>
        <v>0</v>
      </c>
      <c r="AS30" s="223" t="str">
        <f t="shared" si="19"/>
        <v/>
      </c>
      <c r="AT30" s="16">
        <f t="shared" si="10"/>
        <v>1</v>
      </c>
      <c r="AU30" s="225" t="str">
        <f>IF(AND(AP30&gt;0,AQ30&gt;0),INDEX(MY_MATRIX!$D$8:E18,②選手登録名簿!AP30,②選手登録名簿!AQ30),"")</f>
        <v/>
      </c>
      <c r="AV30" t="s">
        <v>62</v>
      </c>
      <c r="AW30" s="10" t="str">
        <f t="shared" si="24"/>
        <v/>
      </c>
      <c r="AX30" s="20" t="str">
        <f t="shared" si="25"/>
        <v/>
      </c>
      <c r="AY30" s="10" t="str">
        <f t="shared" si="21"/>
        <v/>
      </c>
      <c r="AZ30" s="10" t="str">
        <f t="shared" si="26"/>
        <v/>
      </c>
      <c r="BA30" s="10" t="str">
        <f t="shared" si="22"/>
        <v/>
      </c>
      <c r="BB30" s="10" t="str">
        <f t="shared" si="23"/>
        <v/>
      </c>
      <c r="BD30" s="10" t="str">
        <f t="shared" si="11"/>
        <v>　</v>
      </c>
      <c r="BE30" s="67"/>
      <c r="BF30" s="10">
        <f t="shared" si="12"/>
        <v>1</v>
      </c>
      <c r="BH30" s="10">
        <f t="shared" si="13"/>
        <v>1</v>
      </c>
      <c r="BJ30" s="116" t="b">
        <v>0</v>
      </c>
      <c r="BK30">
        <f t="shared" si="20"/>
        <v>0</v>
      </c>
    </row>
    <row r="31" spans="2:63" ht="26.1" customHeight="1" x14ac:dyDescent="0.15">
      <c r="B31" s="105">
        <v>10</v>
      </c>
      <c r="C31" s="149"/>
      <c r="D31" s="286" t="str">
        <f>VLOOKUP(B31,参加者登録申込書!$CB$21:$CH$59,7,0)</f>
        <v/>
      </c>
      <c r="E31" s="151"/>
      <c r="F31" s="151"/>
      <c r="G31" s="152"/>
      <c r="H31" s="149"/>
      <c r="I31" s="286" t="str">
        <f>VLOOKUP(B31,参加者登録申込書!$CB$21:$CC$60,2,0)</f>
        <v/>
      </c>
      <c r="J31" s="286" t="str">
        <f>VLOOKUP(B31,参加者登録申込書!$CB$21:$CD$60,3,0)</f>
        <v/>
      </c>
      <c r="K31" s="286" t="str">
        <f>VLOOKUP(B31,参加者登録申込書!$CB$21:$CE$60,4,0)</f>
        <v/>
      </c>
      <c r="L31" s="286" t="str">
        <f>VLOOKUP(B31,参加者登録申込書!$CB$21:$CF$60,5,0)</f>
        <v/>
      </c>
      <c r="M31" s="149"/>
      <c r="N31" s="288" t="str">
        <f>VLOOKUP(B31,参加者登録申込書!$CB$21:$CI$60,8,0)</f>
        <v/>
      </c>
      <c r="O31" s="286" t="str">
        <f>VLOOKUP(B31,参加者登録申込書!$CB$21:$CJ$60,9,0)</f>
        <v/>
      </c>
      <c r="P31" s="145"/>
      <c r="Q31" s="146"/>
      <c r="R31" s="290" t="str">
        <f t="shared" si="14"/>
        <v/>
      </c>
      <c r="T31" s="58" t="b">
        <v>0</v>
      </c>
      <c r="U31" s="10">
        <f t="shared" si="15"/>
        <v>1</v>
      </c>
      <c r="V31" s="10">
        <f t="shared" si="0"/>
        <v>1</v>
      </c>
      <c r="W31" s="223" t="str">
        <f>VLOOKUP(B31,参加者登録申込書!$CB$21:$CP$59,15,0)</f>
        <v>（今回登録）</v>
      </c>
      <c r="X31" s="7" t="s">
        <v>298</v>
      </c>
      <c r="Y31" s="7" t="str">
        <f t="shared" si="1"/>
        <v>選択なし</v>
      </c>
      <c r="AB31" s="5" t="str">
        <f t="shared" si="16"/>
        <v>スタッフ選択15</v>
      </c>
      <c r="AI31" s="7" t="str">
        <f t="shared" si="2"/>
        <v/>
      </c>
      <c r="AJ31" s="7" t="str">
        <f t="shared" si="3"/>
        <v/>
      </c>
      <c r="AK31" s="7" t="str">
        <f t="shared" si="4"/>
        <v/>
      </c>
      <c r="AL31" s="8" t="str">
        <f t="shared" si="5"/>
        <v/>
      </c>
      <c r="AM31" s="9" t="str">
        <f t="shared" si="6"/>
        <v/>
      </c>
      <c r="AN31" s="7" t="str">
        <f t="shared" si="7"/>
        <v>　</v>
      </c>
      <c r="AO31" s="389" t="str">
        <f t="shared" si="17"/>
        <v/>
      </c>
      <c r="AP31" s="16">
        <f t="shared" si="8"/>
        <v>0</v>
      </c>
      <c r="AQ31" s="16">
        <f t="shared" si="9"/>
        <v>0</v>
      </c>
      <c r="AR31" s="224">
        <f t="shared" si="18"/>
        <v>0</v>
      </c>
      <c r="AS31" s="223" t="str">
        <f t="shared" si="19"/>
        <v/>
      </c>
      <c r="AT31" s="16">
        <f t="shared" si="10"/>
        <v>1</v>
      </c>
      <c r="AU31" s="225" t="str">
        <f>IF(AND(AP31&gt;0,AQ31&gt;0),INDEX(MY_MATRIX!$D$8:E19,②選手登録名簿!AP31,②選手登録名簿!AQ31),"")</f>
        <v/>
      </c>
      <c r="AV31" t="s">
        <v>63</v>
      </c>
      <c r="AW31" s="10" t="str">
        <f t="shared" si="24"/>
        <v/>
      </c>
      <c r="AX31" s="20" t="str">
        <f t="shared" si="25"/>
        <v/>
      </c>
      <c r="AY31" s="10" t="str">
        <f t="shared" si="21"/>
        <v/>
      </c>
      <c r="AZ31" s="10" t="str">
        <f t="shared" si="26"/>
        <v/>
      </c>
      <c r="BA31" s="10" t="str">
        <f t="shared" si="22"/>
        <v/>
      </c>
      <c r="BB31" s="10" t="str">
        <f t="shared" si="23"/>
        <v/>
      </c>
      <c r="BD31" s="10" t="str">
        <f t="shared" si="11"/>
        <v>　</v>
      </c>
      <c r="BE31" s="67"/>
      <c r="BF31" s="10">
        <f t="shared" si="12"/>
        <v>1</v>
      </c>
      <c r="BH31" s="10">
        <f t="shared" si="13"/>
        <v>1</v>
      </c>
      <c r="BJ31" s="116" t="b">
        <v>0</v>
      </c>
      <c r="BK31">
        <f t="shared" si="20"/>
        <v>0</v>
      </c>
    </row>
    <row r="32" spans="2:63" ht="26.1" customHeight="1" x14ac:dyDescent="0.15">
      <c r="B32" s="105">
        <v>11</v>
      </c>
      <c r="C32" s="149"/>
      <c r="D32" s="286" t="str">
        <f>VLOOKUP(B32,参加者登録申込書!$CB$21:$CH$59,7,0)</f>
        <v/>
      </c>
      <c r="E32" s="151"/>
      <c r="F32" s="151"/>
      <c r="G32" s="152"/>
      <c r="H32" s="149"/>
      <c r="I32" s="286" t="str">
        <f>VLOOKUP(B32,参加者登録申込書!$CB$21:$CC$60,2,0)</f>
        <v/>
      </c>
      <c r="J32" s="286" t="str">
        <f>VLOOKUP(B32,参加者登録申込書!$CB$21:$CD$60,3,0)</f>
        <v/>
      </c>
      <c r="K32" s="286" t="str">
        <f>VLOOKUP(B32,参加者登録申込書!$CB$21:$CE$60,4,0)</f>
        <v/>
      </c>
      <c r="L32" s="286" t="str">
        <f>VLOOKUP(B32,参加者登録申込書!$CB$21:$CF$60,5,0)</f>
        <v/>
      </c>
      <c r="M32" s="149"/>
      <c r="N32" s="288" t="str">
        <f>VLOOKUP(B32,参加者登録申込書!$CB$21:$CI$60,8,0)</f>
        <v/>
      </c>
      <c r="O32" s="286" t="str">
        <f>VLOOKUP(B32,参加者登録申込書!$CB$21:$CJ$60,9,0)</f>
        <v/>
      </c>
      <c r="P32" s="145"/>
      <c r="Q32" s="146"/>
      <c r="R32" s="290" t="str">
        <f t="shared" si="14"/>
        <v/>
      </c>
      <c r="T32" s="58" t="b">
        <v>0</v>
      </c>
      <c r="U32" s="10">
        <f t="shared" si="15"/>
        <v>1</v>
      </c>
      <c r="V32" s="10">
        <f t="shared" si="0"/>
        <v>1</v>
      </c>
      <c r="W32" s="223" t="str">
        <f>VLOOKUP(B32,参加者登録申込書!$CB$21:$CP$59,15,0)</f>
        <v>（今回登録）</v>
      </c>
      <c r="X32" s="7" t="s">
        <v>298</v>
      </c>
      <c r="Y32" s="7" t="str">
        <f t="shared" si="1"/>
        <v>選択なし</v>
      </c>
      <c r="AB32" s="5" t="str">
        <f t="shared" si="16"/>
        <v>スタッフ選択15</v>
      </c>
      <c r="AI32" s="7" t="str">
        <f t="shared" si="2"/>
        <v/>
      </c>
      <c r="AJ32" s="7" t="str">
        <f t="shared" si="3"/>
        <v/>
      </c>
      <c r="AK32" s="7" t="str">
        <f t="shared" si="4"/>
        <v/>
      </c>
      <c r="AL32" s="8" t="str">
        <f t="shared" si="5"/>
        <v/>
      </c>
      <c r="AM32" s="9" t="str">
        <f t="shared" si="6"/>
        <v/>
      </c>
      <c r="AN32" s="7" t="str">
        <f t="shared" si="7"/>
        <v>　</v>
      </c>
      <c r="AO32" s="389" t="str">
        <f t="shared" si="17"/>
        <v/>
      </c>
      <c r="AP32" s="16">
        <f t="shared" si="8"/>
        <v>0</v>
      </c>
      <c r="AQ32" s="16">
        <f t="shared" si="9"/>
        <v>0</v>
      </c>
      <c r="AR32" s="224">
        <f t="shared" si="18"/>
        <v>0</v>
      </c>
      <c r="AS32" s="223" t="str">
        <f t="shared" si="19"/>
        <v/>
      </c>
      <c r="AT32" s="16">
        <f t="shared" si="10"/>
        <v>1</v>
      </c>
      <c r="AU32" s="225" t="str">
        <f>IF(AND(AP32&gt;0,AQ32&gt;0),INDEX(MY_MATRIX!$D$8:E20,②選手登録名簿!AP32,②選手登録名簿!AQ32),"")</f>
        <v/>
      </c>
      <c r="AV32" t="s">
        <v>64</v>
      </c>
      <c r="AW32" s="10" t="str">
        <f t="shared" si="24"/>
        <v/>
      </c>
      <c r="AX32" s="20" t="str">
        <f t="shared" si="25"/>
        <v/>
      </c>
      <c r="AY32" s="10" t="str">
        <f t="shared" si="21"/>
        <v/>
      </c>
      <c r="AZ32" s="10" t="str">
        <f t="shared" si="26"/>
        <v/>
      </c>
      <c r="BA32" s="10" t="str">
        <f t="shared" si="22"/>
        <v/>
      </c>
      <c r="BB32" s="10" t="str">
        <f t="shared" si="23"/>
        <v/>
      </c>
      <c r="BD32" s="10" t="str">
        <f t="shared" si="11"/>
        <v>　</v>
      </c>
      <c r="BE32" s="67"/>
      <c r="BF32" s="10">
        <f t="shared" si="12"/>
        <v>1</v>
      </c>
      <c r="BH32" s="10">
        <f t="shared" si="13"/>
        <v>1</v>
      </c>
      <c r="BJ32" s="116" t="b">
        <v>0</v>
      </c>
      <c r="BK32">
        <f t="shared" si="20"/>
        <v>0</v>
      </c>
    </row>
    <row r="33" spans="2:63" ht="26.1" customHeight="1" x14ac:dyDescent="0.15">
      <c r="B33" s="105">
        <v>12</v>
      </c>
      <c r="C33" s="149"/>
      <c r="D33" s="286" t="str">
        <f>VLOOKUP(B33,参加者登録申込書!$CB$21:$CH$59,7,0)</f>
        <v/>
      </c>
      <c r="E33" s="151"/>
      <c r="F33" s="151"/>
      <c r="G33" s="152"/>
      <c r="H33" s="149"/>
      <c r="I33" s="286" t="str">
        <f>VLOOKUP(B33,参加者登録申込書!$CB$21:$CC$60,2,0)</f>
        <v/>
      </c>
      <c r="J33" s="286" t="str">
        <f>VLOOKUP(B33,参加者登録申込書!$CB$21:$CD$60,3,0)</f>
        <v/>
      </c>
      <c r="K33" s="286" t="str">
        <f>VLOOKUP(B33,参加者登録申込書!$CB$21:$CE$60,4,0)</f>
        <v/>
      </c>
      <c r="L33" s="286" t="str">
        <f>VLOOKUP(B33,参加者登録申込書!$CB$21:$CF$60,5,0)</f>
        <v/>
      </c>
      <c r="M33" s="149"/>
      <c r="N33" s="288" t="str">
        <f>VLOOKUP(B33,参加者登録申込書!$CB$21:$CI$60,8,0)</f>
        <v/>
      </c>
      <c r="O33" s="286" t="str">
        <f>VLOOKUP(B33,参加者登録申込書!$CB$21:$CJ$60,9,0)</f>
        <v/>
      </c>
      <c r="P33" s="145"/>
      <c r="Q33" s="146"/>
      <c r="R33" s="290" t="str">
        <f t="shared" si="14"/>
        <v/>
      </c>
      <c r="T33" s="58" t="b">
        <v>0</v>
      </c>
      <c r="U33" s="10">
        <f t="shared" si="15"/>
        <v>1</v>
      </c>
      <c r="V33" s="10">
        <f t="shared" si="0"/>
        <v>1</v>
      </c>
      <c r="W33" s="223" t="str">
        <f>VLOOKUP(B33,参加者登録申込書!$CB$21:$CP$59,15,0)</f>
        <v>（今回登録）</v>
      </c>
      <c r="X33" s="7" t="s">
        <v>298</v>
      </c>
      <c r="Y33" s="7" t="str">
        <f t="shared" si="1"/>
        <v>選択なし</v>
      </c>
      <c r="AB33" s="5" t="str">
        <f t="shared" si="16"/>
        <v>スタッフ選択15</v>
      </c>
      <c r="AI33" s="7" t="str">
        <f t="shared" si="2"/>
        <v/>
      </c>
      <c r="AJ33" s="7" t="str">
        <f t="shared" si="3"/>
        <v/>
      </c>
      <c r="AK33" s="7" t="str">
        <f t="shared" si="4"/>
        <v/>
      </c>
      <c r="AL33" s="8" t="str">
        <f t="shared" si="5"/>
        <v/>
      </c>
      <c r="AM33" s="9" t="str">
        <f t="shared" si="6"/>
        <v/>
      </c>
      <c r="AN33" s="7" t="str">
        <f t="shared" si="7"/>
        <v>　</v>
      </c>
      <c r="AO33" s="389" t="str">
        <f t="shared" si="17"/>
        <v/>
      </c>
      <c r="AP33" s="16">
        <f t="shared" si="8"/>
        <v>0</v>
      </c>
      <c r="AQ33" s="16">
        <f t="shared" si="9"/>
        <v>0</v>
      </c>
      <c r="AR33" s="224">
        <f t="shared" si="18"/>
        <v>0</v>
      </c>
      <c r="AS33" s="223" t="str">
        <f t="shared" si="19"/>
        <v/>
      </c>
      <c r="AT33" s="16">
        <f t="shared" si="10"/>
        <v>1</v>
      </c>
      <c r="AU33" s="225" t="str">
        <f>IF(AND(AP33&gt;0,AQ33&gt;0),INDEX(MY_MATRIX!$D$8:E21,②選手登録名簿!AP33,②選手登録名簿!AQ33),"")</f>
        <v/>
      </c>
      <c r="AV33" t="s">
        <v>65</v>
      </c>
      <c r="AW33" s="10" t="str">
        <f t="shared" si="24"/>
        <v/>
      </c>
      <c r="AX33" s="20" t="str">
        <f t="shared" si="25"/>
        <v/>
      </c>
      <c r="AY33" s="10" t="str">
        <f t="shared" si="21"/>
        <v/>
      </c>
      <c r="AZ33" s="10" t="str">
        <f t="shared" si="26"/>
        <v/>
      </c>
      <c r="BA33" s="10" t="str">
        <f t="shared" si="22"/>
        <v/>
      </c>
      <c r="BB33" s="10" t="str">
        <f t="shared" si="23"/>
        <v/>
      </c>
      <c r="BD33" s="10" t="str">
        <f t="shared" si="11"/>
        <v>　</v>
      </c>
      <c r="BE33" s="67"/>
      <c r="BF33" s="10">
        <f t="shared" si="12"/>
        <v>1</v>
      </c>
      <c r="BH33" s="10">
        <f t="shared" si="13"/>
        <v>1</v>
      </c>
      <c r="BJ33" s="116" t="b">
        <v>0</v>
      </c>
      <c r="BK33">
        <f t="shared" si="20"/>
        <v>0</v>
      </c>
    </row>
    <row r="34" spans="2:63" ht="26.1" customHeight="1" x14ac:dyDescent="0.15">
      <c r="B34" s="105">
        <v>13</v>
      </c>
      <c r="C34" s="149"/>
      <c r="D34" s="286" t="str">
        <f>VLOOKUP(B34,参加者登録申込書!$CB$21:$CH$59,7,0)</f>
        <v/>
      </c>
      <c r="E34" s="151"/>
      <c r="F34" s="151"/>
      <c r="G34" s="152"/>
      <c r="H34" s="149"/>
      <c r="I34" s="286" t="str">
        <f>VLOOKUP(B34,参加者登録申込書!$CB$21:$CC$60,2,0)</f>
        <v/>
      </c>
      <c r="J34" s="286" t="str">
        <f>VLOOKUP(B34,参加者登録申込書!$CB$21:$CD$60,3,0)</f>
        <v/>
      </c>
      <c r="K34" s="286" t="str">
        <f>VLOOKUP(B34,参加者登録申込書!$CB$21:$CE$60,4,0)</f>
        <v/>
      </c>
      <c r="L34" s="286" t="str">
        <f>VLOOKUP(B34,参加者登録申込書!$CB$21:$CF$60,5,0)</f>
        <v/>
      </c>
      <c r="M34" s="149"/>
      <c r="N34" s="288" t="str">
        <f>VLOOKUP(B34,参加者登録申込書!$CB$21:$CI$60,8,0)</f>
        <v/>
      </c>
      <c r="O34" s="286" t="str">
        <f>VLOOKUP(B34,参加者登録申込書!$CB$21:$CJ$60,9,0)</f>
        <v/>
      </c>
      <c r="P34" s="145"/>
      <c r="Q34" s="146"/>
      <c r="R34" s="290" t="str">
        <f t="shared" si="14"/>
        <v/>
      </c>
      <c r="T34" s="58" t="b">
        <v>0</v>
      </c>
      <c r="U34" s="10">
        <f t="shared" si="15"/>
        <v>1</v>
      </c>
      <c r="V34" s="10">
        <f t="shared" si="0"/>
        <v>1</v>
      </c>
      <c r="W34" s="223" t="str">
        <f>VLOOKUP(B34,参加者登録申込書!$CB$21:$CP$59,15,0)</f>
        <v>（今回登録）</v>
      </c>
      <c r="X34" s="7" t="s">
        <v>298</v>
      </c>
      <c r="Y34" s="7" t="str">
        <f t="shared" si="1"/>
        <v>選択なし</v>
      </c>
      <c r="AB34" s="5" t="str">
        <f t="shared" si="16"/>
        <v>スタッフ選択15</v>
      </c>
      <c r="AI34" s="7" t="str">
        <f t="shared" si="2"/>
        <v/>
      </c>
      <c r="AJ34" s="7" t="str">
        <f t="shared" si="3"/>
        <v/>
      </c>
      <c r="AK34" s="7" t="str">
        <f t="shared" si="4"/>
        <v/>
      </c>
      <c r="AL34" s="8" t="str">
        <f t="shared" si="5"/>
        <v/>
      </c>
      <c r="AM34" s="9" t="str">
        <f t="shared" si="6"/>
        <v/>
      </c>
      <c r="AN34" s="7" t="str">
        <f t="shared" si="7"/>
        <v>　</v>
      </c>
      <c r="AO34" s="389" t="str">
        <f t="shared" si="17"/>
        <v/>
      </c>
      <c r="AP34" s="16">
        <f t="shared" si="8"/>
        <v>0</v>
      </c>
      <c r="AQ34" s="16">
        <f t="shared" si="9"/>
        <v>0</v>
      </c>
      <c r="AR34" s="224">
        <f t="shared" si="18"/>
        <v>0</v>
      </c>
      <c r="AS34" s="223" t="str">
        <f t="shared" si="19"/>
        <v/>
      </c>
      <c r="AT34" s="16">
        <f t="shared" si="10"/>
        <v>1</v>
      </c>
      <c r="AU34" s="225" t="str">
        <f>IF(AND(AP34&gt;0,AQ34&gt;0),INDEX(MY_MATRIX!$D$8:E22,②選手登録名簿!AP34,②選手登録名簿!AQ34),"")</f>
        <v/>
      </c>
      <c r="AV34" t="s">
        <v>66</v>
      </c>
      <c r="AW34" s="10" t="str">
        <f t="shared" si="24"/>
        <v/>
      </c>
      <c r="AX34" s="20" t="str">
        <f t="shared" si="25"/>
        <v/>
      </c>
      <c r="AY34" s="10" t="str">
        <f t="shared" si="21"/>
        <v/>
      </c>
      <c r="AZ34" s="10" t="str">
        <f t="shared" si="26"/>
        <v/>
      </c>
      <c r="BA34" s="10" t="str">
        <f t="shared" si="22"/>
        <v/>
      </c>
      <c r="BB34" s="10" t="str">
        <f t="shared" si="23"/>
        <v/>
      </c>
      <c r="BD34" s="10" t="str">
        <f t="shared" si="11"/>
        <v>　</v>
      </c>
      <c r="BE34" s="67"/>
      <c r="BF34" s="10">
        <f t="shared" si="12"/>
        <v>1</v>
      </c>
      <c r="BH34" s="10">
        <f t="shared" si="13"/>
        <v>1</v>
      </c>
      <c r="BJ34" s="116" t="b">
        <v>0</v>
      </c>
      <c r="BK34">
        <f t="shared" si="20"/>
        <v>0</v>
      </c>
    </row>
    <row r="35" spans="2:63" ht="26.1" customHeight="1" x14ac:dyDescent="0.15">
      <c r="B35" s="105">
        <v>14</v>
      </c>
      <c r="C35" s="149"/>
      <c r="D35" s="286" t="str">
        <f>VLOOKUP(B35,参加者登録申込書!$CB$21:$CH$59,7,0)</f>
        <v/>
      </c>
      <c r="E35" s="151"/>
      <c r="F35" s="151"/>
      <c r="G35" s="152"/>
      <c r="H35" s="149"/>
      <c r="I35" s="286" t="str">
        <f>VLOOKUP(B35,参加者登録申込書!$CB$21:$CC$60,2,0)</f>
        <v/>
      </c>
      <c r="J35" s="286" t="str">
        <f>VLOOKUP(B35,参加者登録申込書!$CB$21:$CD$60,3,0)</f>
        <v/>
      </c>
      <c r="K35" s="286" t="str">
        <f>VLOOKUP(B35,参加者登録申込書!$CB$21:$CE$60,4,0)</f>
        <v/>
      </c>
      <c r="L35" s="286" t="str">
        <f>VLOOKUP(B35,参加者登録申込書!$CB$21:$CF$60,5,0)</f>
        <v/>
      </c>
      <c r="M35" s="149"/>
      <c r="N35" s="288" t="str">
        <f>VLOOKUP(B35,参加者登録申込書!$CB$21:$CI$60,8,0)</f>
        <v/>
      </c>
      <c r="O35" s="286" t="str">
        <f>VLOOKUP(B35,参加者登録申込書!$CB$21:$CJ$60,9,0)</f>
        <v/>
      </c>
      <c r="P35" s="145"/>
      <c r="Q35" s="146"/>
      <c r="R35" s="290" t="str">
        <f t="shared" si="14"/>
        <v/>
      </c>
      <c r="T35" s="58" t="b">
        <v>0</v>
      </c>
      <c r="U35" s="10">
        <f t="shared" si="15"/>
        <v>1</v>
      </c>
      <c r="V35" s="10">
        <f t="shared" si="0"/>
        <v>1</v>
      </c>
      <c r="W35" s="223" t="str">
        <f>VLOOKUP(B35,参加者登録申込書!$CB$21:$CP$59,15,0)</f>
        <v>（今回登録）</v>
      </c>
      <c r="X35" s="7" t="s">
        <v>298</v>
      </c>
      <c r="Y35" s="7" t="str">
        <f t="shared" si="1"/>
        <v>選択なし</v>
      </c>
      <c r="AB35" s="5" t="str">
        <f t="shared" si="16"/>
        <v>スタッフ選択15</v>
      </c>
      <c r="AI35" s="7" t="str">
        <f t="shared" si="2"/>
        <v/>
      </c>
      <c r="AJ35" s="7" t="str">
        <f t="shared" si="3"/>
        <v/>
      </c>
      <c r="AK35" s="7" t="str">
        <f t="shared" si="4"/>
        <v/>
      </c>
      <c r="AL35" s="8" t="str">
        <f t="shared" si="5"/>
        <v/>
      </c>
      <c r="AM35" s="9" t="str">
        <f t="shared" si="6"/>
        <v/>
      </c>
      <c r="AN35" s="7" t="str">
        <f t="shared" si="7"/>
        <v>　</v>
      </c>
      <c r="AO35" s="389" t="str">
        <f t="shared" si="17"/>
        <v/>
      </c>
      <c r="AP35" s="16">
        <f t="shared" si="8"/>
        <v>0</v>
      </c>
      <c r="AQ35" s="16">
        <f t="shared" si="9"/>
        <v>0</v>
      </c>
      <c r="AR35" s="224">
        <f t="shared" si="18"/>
        <v>0</v>
      </c>
      <c r="AS35" s="223" t="str">
        <f t="shared" si="19"/>
        <v/>
      </c>
      <c r="AT35" s="16">
        <f t="shared" si="10"/>
        <v>1</v>
      </c>
      <c r="AU35" s="225" t="str">
        <f>IF(AND(AP35&gt;0,AQ35&gt;0),INDEX(MY_MATRIX!$D$8:E23,②選手登録名簿!AP35,②選手登録名簿!AQ35),"")</f>
        <v/>
      </c>
      <c r="AV35" t="s">
        <v>67</v>
      </c>
      <c r="AW35" s="10" t="str">
        <f t="shared" si="24"/>
        <v/>
      </c>
      <c r="AX35" s="20" t="str">
        <f t="shared" si="25"/>
        <v/>
      </c>
      <c r="AY35" s="10" t="str">
        <f t="shared" si="21"/>
        <v/>
      </c>
      <c r="AZ35" s="10" t="str">
        <f t="shared" si="26"/>
        <v/>
      </c>
      <c r="BA35" s="10" t="str">
        <f t="shared" si="22"/>
        <v/>
      </c>
      <c r="BB35" s="10" t="str">
        <f t="shared" si="23"/>
        <v/>
      </c>
      <c r="BD35" s="10" t="str">
        <f t="shared" si="11"/>
        <v>　</v>
      </c>
      <c r="BE35" s="67"/>
      <c r="BF35" s="10">
        <f t="shared" si="12"/>
        <v>1</v>
      </c>
      <c r="BH35" s="10">
        <f t="shared" si="13"/>
        <v>1</v>
      </c>
      <c r="BJ35" s="116" t="b">
        <v>0</v>
      </c>
      <c r="BK35">
        <f t="shared" si="20"/>
        <v>0</v>
      </c>
    </row>
    <row r="36" spans="2:63" ht="26.1" customHeight="1" x14ac:dyDescent="0.15">
      <c r="B36" s="105">
        <v>15</v>
      </c>
      <c r="C36" s="149"/>
      <c r="D36" s="286" t="str">
        <f>VLOOKUP(B36,参加者登録申込書!$CB$21:$CH$59,7,0)</f>
        <v/>
      </c>
      <c r="E36" s="151"/>
      <c r="F36" s="151"/>
      <c r="G36" s="152"/>
      <c r="H36" s="149"/>
      <c r="I36" s="286" t="str">
        <f>VLOOKUP(B36,参加者登録申込書!$CB$21:$CC$60,2,0)</f>
        <v/>
      </c>
      <c r="J36" s="286" t="str">
        <f>VLOOKUP(B36,参加者登録申込書!$CB$21:$CD$60,3,0)</f>
        <v/>
      </c>
      <c r="K36" s="286" t="str">
        <f>VLOOKUP(B36,参加者登録申込書!$CB$21:$CE$60,4,0)</f>
        <v/>
      </c>
      <c r="L36" s="286" t="str">
        <f>VLOOKUP(B36,参加者登録申込書!$CB$21:$CF$60,5,0)</f>
        <v/>
      </c>
      <c r="M36" s="149"/>
      <c r="N36" s="288" t="str">
        <f>VLOOKUP(B36,参加者登録申込書!$CB$21:$CI$60,8,0)</f>
        <v/>
      </c>
      <c r="O36" s="286" t="str">
        <f>VLOOKUP(B36,参加者登録申込書!$CB$21:$CJ$60,9,0)</f>
        <v/>
      </c>
      <c r="P36" s="145"/>
      <c r="Q36" s="146"/>
      <c r="R36" s="290" t="str">
        <f t="shared" si="14"/>
        <v/>
      </c>
      <c r="T36" s="58" t="b">
        <v>0</v>
      </c>
      <c r="U36" s="10">
        <f t="shared" si="15"/>
        <v>1</v>
      </c>
      <c r="V36" s="10">
        <f t="shared" si="0"/>
        <v>1</v>
      </c>
      <c r="W36" s="223" t="str">
        <f>VLOOKUP(B36,参加者登録申込書!$CB$21:$CP$59,15,0)</f>
        <v>（今回登録）</v>
      </c>
      <c r="X36" s="7" t="s">
        <v>298</v>
      </c>
      <c r="Y36" s="7" t="str">
        <f t="shared" si="1"/>
        <v>選択なし</v>
      </c>
      <c r="AB36" s="5" t="str">
        <f t="shared" si="16"/>
        <v>スタッフ選択15</v>
      </c>
      <c r="AI36" s="7" t="str">
        <f t="shared" si="2"/>
        <v/>
      </c>
      <c r="AJ36" s="7" t="str">
        <f t="shared" si="3"/>
        <v/>
      </c>
      <c r="AK36" s="7" t="str">
        <f t="shared" si="4"/>
        <v/>
      </c>
      <c r="AL36" s="8" t="str">
        <f t="shared" si="5"/>
        <v/>
      </c>
      <c r="AM36" s="9" t="str">
        <f t="shared" si="6"/>
        <v/>
      </c>
      <c r="AN36" s="7" t="str">
        <f t="shared" si="7"/>
        <v>　</v>
      </c>
      <c r="AO36" s="389" t="str">
        <f t="shared" si="17"/>
        <v/>
      </c>
      <c r="AP36" s="16">
        <f t="shared" si="8"/>
        <v>0</v>
      </c>
      <c r="AQ36" s="16">
        <f t="shared" si="9"/>
        <v>0</v>
      </c>
      <c r="AR36" s="224">
        <f t="shared" si="18"/>
        <v>0</v>
      </c>
      <c r="AS36" s="223" t="str">
        <f t="shared" si="19"/>
        <v/>
      </c>
      <c r="AT36" s="16">
        <f t="shared" si="10"/>
        <v>1</v>
      </c>
      <c r="AU36" s="225" t="str">
        <f>IF(AND(AP36&gt;0,AQ36&gt;0),INDEX(MY_MATRIX!$D$8:E24,②選手登録名簿!AP36,②選手登録名簿!AQ36),"")</f>
        <v/>
      </c>
      <c r="AV36" t="s">
        <v>68</v>
      </c>
      <c r="AW36" s="10" t="str">
        <f t="shared" si="24"/>
        <v/>
      </c>
      <c r="AX36" s="20" t="str">
        <f t="shared" si="25"/>
        <v/>
      </c>
      <c r="AY36" s="10" t="str">
        <f t="shared" si="21"/>
        <v/>
      </c>
      <c r="AZ36" s="10" t="str">
        <f t="shared" si="26"/>
        <v/>
      </c>
      <c r="BA36" s="10" t="str">
        <f t="shared" si="22"/>
        <v/>
      </c>
      <c r="BB36" s="10" t="str">
        <f t="shared" si="23"/>
        <v/>
      </c>
      <c r="BD36" s="10" t="str">
        <f t="shared" si="11"/>
        <v>　</v>
      </c>
      <c r="BE36" s="67"/>
      <c r="BF36" s="10">
        <f t="shared" si="12"/>
        <v>1</v>
      </c>
      <c r="BH36" s="10">
        <f t="shared" si="13"/>
        <v>1</v>
      </c>
      <c r="BJ36" s="116" t="b">
        <v>0</v>
      </c>
      <c r="BK36">
        <f t="shared" si="20"/>
        <v>0</v>
      </c>
    </row>
    <row r="37" spans="2:63" ht="26.1" customHeight="1" x14ac:dyDescent="0.15">
      <c r="B37" s="105">
        <v>16</v>
      </c>
      <c r="C37" s="149"/>
      <c r="D37" s="286" t="str">
        <f>VLOOKUP(B37,参加者登録申込書!$CB$21:$CH$59,7,0)</f>
        <v/>
      </c>
      <c r="E37" s="151"/>
      <c r="F37" s="151"/>
      <c r="G37" s="152"/>
      <c r="H37" s="149"/>
      <c r="I37" s="286" t="str">
        <f>VLOOKUP(B37,参加者登録申込書!$CB$21:$CC$60,2,0)</f>
        <v/>
      </c>
      <c r="J37" s="286" t="str">
        <f>VLOOKUP(B37,参加者登録申込書!$CB$21:$CD$60,3,0)</f>
        <v/>
      </c>
      <c r="K37" s="286" t="str">
        <f>VLOOKUP(B37,参加者登録申込書!$CB$21:$CE$60,4,0)</f>
        <v/>
      </c>
      <c r="L37" s="286" t="str">
        <f>VLOOKUP(B37,参加者登録申込書!$CB$21:$CF$60,5,0)</f>
        <v/>
      </c>
      <c r="M37" s="149"/>
      <c r="N37" s="288" t="str">
        <f>VLOOKUP(B37,参加者登録申込書!$CB$21:$CI$60,8,0)</f>
        <v/>
      </c>
      <c r="O37" s="286" t="str">
        <f>VLOOKUP(B37,参加者登録申込書!$CB$21:$CJ$60,9,0)</f>
        <v/>
      </c>
      <c r="P37" s="145"/>
      <c r="Q37" s="146"/>
      <c r="R37" s="290" t="str">
        <f t="shared" si="14"/>
        <v/>
      </c>
      <c r="T37" s="58" t="b">
        <v>0</v>
      </c>
      <c r="U37" s="10">
        <f>IF(B37=$AA$22,IF(E37="選手",1,0),1)</f>
        <v>1</v>
      </c>
      <c r="V37" s="10">
        <f t="shared" si="0"/>
        <v>1</v>
      </c>
      <c r="W37" s="223" t="str">
        <f>VLOOKUP(B37,参加者登録申込書!$CB$21:$CP$59,15,0)</f>
        <v>（今回登録）</v>
      </c>
      <c r="X37" s="7" t="s">
        <v>298</v>
      </c>
      <c r="Y37" s="7" t="str">
        <f t="shared" si="1"/>
        <v>選択なし</v>
      </c>
      <c r="AB37" s="5" t="str">
        <f t="shared" si="16"/>
        <v>スタッフ選択15</v>
      </c>
      <c r="AI37" s="7" t="str">
        <f t="shared" si="2"/>
        <v/>
      </c>
      <c r="AJ37" s="7" t="str">
        <f t="shared" si="3"/>
        <v/>
      </c>
      <c r="AK37" s="7" t="str">
        <f t="shared" si="4"/>
        <v/>
      </c>
      <c r="AL37" s="8" t="str">
        <f t="shared" si="5"/>
        <v/>
      </c>
      <c r="AM37" s="9" t="str">
        <f t="shared" si="6"/>
        <v/>
      </c>
      <c r="AN37" s="7" t="str">
        <f t="shared" si="7"/>
        <v>　</v>
      </c>
      <c r="AO37" s="389" t="str">
        <f t="shared" si="17"/>
        <v/>
      </c>
      <c r="AP37" s="16">
        <f t="shared" si="8"/>
        <v>0</v>
      </c>
      <c r="AQ37" s="16">
        <f t="shared" si="9"/>
        <v>0</v>
      </c>
      <c r="AR37" s="224">
        <f t="shared" si="18"/>
        <v>0</v>
      </c>
      <c r="AS37" s="223" t="str">
        <f t="shared" si="19"/>
        <v/>
      </c>
      <c r="AT37" s="16">
        <f t="shared" si="10"/>
        <v>1</v>
      </c>
      <c r="AU37" s="225" t="str">
        <f>IF(AND(AP37&gt;0,AQ37&gt;0),INDEX(MY_MATRIX!$D$8:E25,②選手登録名簿!AP37,②選手登録名簿!AQ37),"")</f>
        <v/>
      </c>
      <c r="AV37" t="s">
        <v>69</v>
      </c>
      <c r="AW37" s="10" t="str">
        <f t="shared" si="24"/>
        <v/>
      </c>
      <c r="AX37" s="20" t="str">
        <f t="shared" si="25"/>
        <v/>
      </c>
      <c r="AY37" s="10" t="str">
        <f t="shared" si="21"/>
        <v/>
      </c>
      <c r="AZ37" s="10" t="str">
        <f t="shared" si="26"/>
        <v/>
      </c>
      <c r="BA37" s="10" t="str">
        <f t="shared" si="22"/>
        <v/>
      </c>
      <c r="BB37" s="10" t="str">
        <f t="shared" si="23"/>
        <v/>
      </c>
      <c r="BD37" s="10" t="str">
        <f t="shared" si="11"/>
        <v>　</v>
      </c>
      <c r="BE37" s="67"/>
      <c r="BF37" s="10">
        <f t="shared" si="12"/>
        <v>1</v>
      </c>
      <c r="BH37" s="10">
        <f t="shared" si="13"/>
        <v>1</v>
      </c>
      <c r="BJ37" s="116" t="b">
        <v>0</v>
      </c>
      <c r="BK37">
        <f t="shared" si="20"/>
        <v>0</v>
      </c>
    </row>
    <row r="38" spans="2:63" ht="26.1" customHeight="1" x14ac:dyDescent="0.15">
      <c r="B38" s="105">
        <v>17</v>
      </c>
      <c r="C38" s="149"/>
      <c r="D38" s="286" t="str">
        <f>VLOOKUP(B38,参加者登録申込書!$CB$21:$CH$59,7,0)</f>
        <v/>
      </c>
      <c r="E38" s="151"/>
      <c r="F38" s="151"/>
      <c r="G38" s="152"/>
      <c r="H38" s="149"/>
      <c r="I38" s="286" t="str">
        <f>VLOOKUP(B38,参加者登録申込書!$CB$21:$CC$60,2,0)</f>
        <v/>
      </c>
      <c r="J38" s="286" t="str">
        <f>VLOOKUP(B38,参加者登録申込書!$CB$21:$CD$60,3,0)</f>
        <v/>
      </c>
      <c r="K38" s="286" t="str">
        <f>VLOOKUP(B38,参加者登録申込書!$CB$21:$CE$60,4,0)</f>
        <v/>
      </c>
      <c r="L38" s="286" t="str">
        <f>VLOOKUP(B38,参加者登録申込書!$CB$21:$CF$60,5,0)</f>
        <v/>
      </c>
      <c r="M38" s="149"/>
      <c r="N38" s="288" t="str">
        <f>VLOOKUP(B38,参加者登録申込書!$CB$21:$CI$60,8,0)</f>
        <v/>
      </c>
      <c r="O38" s="286" t="str">
        <f>VLOOKUP(B38,参加者登録申込書!$CB$21:$CJ$60,9,0)</f>
        <v/>
      </c>
      <c r="P38" s="145"/>
      <c r="Q38" s="146"/>
      <c r="R38" s="290" t="str">
        <f t="shared" si="14"/>
        <v/>
      </c>
      <c r="T38" s="58" t="b">
        <v>0</v>
      </c>
      <c r="U38" s="10">
        <f>IF(B38=$AA$22,IF(E38="選手",1,0),1)</f>
        <v>1</v>
      </c>
      <c r="V38" s="10">
        <f>IF(AND(TRIM(G38)="",TRIM(E38)="選手"),0,1)</f>
        <v>1</v>
      </c>
      <c r="W38" s="223" t="str">
        <f>VLOOKUP(B38,参加者登録申込書!$CB$21:$CP$59,15,0)</f>
        <v>（今回登録）</v>
      </c>
      <c r="X38" s="7" t="s">
        <v>298</v>
      </c>
      <c r="Y38" s="7" t="str">
        <f t="shared" si="1"/>
        <v>選択なし</v>
      </c>
      <c r="AB38" s="5" t="str">
        <f>IF(AND(TRIM(D38)&lt;&gt;"",TRIM(E38)&lt;&gt;""),$AG$19,"スタッフ選択15")</f>
        <v>スタッフ選択15</v>
      </c>
      <c r="AI38" s="7" t="str">
        <f>IF(F38=$AC$18,ROW(),"")</f>
        <v/>
      </c>
      <c r="AJ38" s="7" t="str">
        <f>IF(F38=$AD$18,ROW(),"")</f>
        <v/>
      </c>
      <c r="AK38" s="7" t="str">
        <f>IF(F38=$AE$18,ROW(),"")</f>
        <v/>
      </c>
      <c r="AL38" s="8" t="str">
        <f>IF(F38=$AF$18,ROW(),"")</f>
        <v/>
      </c>
      <c r="AM38" s="9" t="str">
        <f>IF(E38=$AM$18,ROW(),"")</f>
        <v/>
      </c>
      <c r="AN38" s="7" t="str">
        <f t="shared" si="7"/>
        <v>　</v>
      </c>
      <c r="AO38" s="389" t="str">
        <f t="shared" si="17"/>
        <v/>
      </c>
      <c r="AP38" s="16">
        <f t="shared" si="8"/>
        <v>0</v>
      </c>
      <c r="AQ38" s="16">
        <f>IF(E38="選手",1,IF(E38="スタッフ",2,0))</f>
        <v>0</v>
      </c>
      <c r="AR38" s="224">
        <f t="shared" si="18"/>
        <v>0</v>
      </c>
      <c r="AS38" s="223" t="str">
        <f t="shared" si="19"/>
        <v/>
      </c>
      <c r="AT38" s="16">
        <f>IF(TRIM(E38)&lt;&gt;"スタッフ",1,IF(TRIM(F38)="",0,1))</f>
        <v>1</v>
      </c>
      <c r="AU38" s="225" t="str">
        <f>IF(AND(AP38&gt;0,AQ38&gt;0),INDEX(MY_MATRIX!$D$8:E26,②選手登録名簿!AP38,②選手登録名簿!AQ38),"")</f>
        <v/>
      </c>
      <c r="AV38" t="s">
        <v>381</v>
      </c>
      <c r="AW38" s="10" t="str">
        <f t="shared" si="24"/>
        <v/>
      </c>
      <c r="AX38" s="20" t="str">
        <f t="shared" si="25"/>
        <v/>
      </c>
      <c r="AY38" s="10" t="str">
        <f t="shared" si="21"/>
        <v/>
      </c>
      <c r="AZ38" s="10" t="str">
        <f t="shared" si="26"/>
        <v/>
      </c>
      <c r="BA38" s="10" t="str">
        <f t="shared" si="22"/>
        <v/>
      </c>
      <c r="BB38" s="10" t="str">
        <f t="shared" si="23"/>
        <v/>
      </c>
      <c r="BD38" s="10" t="str">
        <f t="shared" si="11"/>
        <v>　</v>
      </c>
      <c r="BE38" s="67"/>
      <c r="BF38" s="10">
        <f t="shared" si="12"/>
        <v>1</v>
      </c>
      <c r="BH38" s="10">
        <f t="shared" si="13"/>
        <v>1</v>
      </c>
      <c r="BJ38" s="116" t="b">
        <v>0</v>
      </c>
      <c r="BK38">
        <f t="shared" si="20"/>
        <v>0</v>
      </c>
    </row>
    <row r="39" spans="2:63" ht="26.1" customHeight="1" thickBot="1" x14ac:dyDescent="0.2">
      <c r="B39" s="106">
        <v>18</v>
      </c>
      <c r="C39" s="150"/>
      <c r="D39" s="287" t="str">
        <f>VLOOKUP(B39,参加者登録申込書!$CB$21:$CH$59,7,0)</f>
        <v/>
      </c>
      <c r="E39" s="153"/>
      <c r="F39" s="153"/>
      <c r="G39" s="154"/>
      <c r="H39" s="150"/>
      <c r="I39" s="287" t="str">
        <f>VLOOKUP(B39,参加者登録申込書!$CB$21:$CC$60,2,0)</f>
        <v/>
      </c>
      <c r="J39" s="287" t="str">
        <f>VLOOKUP(B39,参加者登録申込書!$CB$21:$CD$60,3,0)</f>
        <v/>
      </c>
      <c r="K39" s="287" t="str">
        <f>VLOOKUP(B39,参加者登録申込書!$CB$21:$CE$60,4,0)</f>
        <v/>
      </c>
      <c r="L39" s="287" t="str">
        <f>VLOOKUP(B39,参加者登録申込書!$CB$21:$CF$60,5,0)</f>
        <v/>
      </c>
      <c r="M39" s="150"/>
      <c r="N39" s="289" t="str">
        <f>VLOOKUP(B39,参加者登録申込書!$CB$21:$CI$60,8,0)</f>
        <v/>
      </c>
      <c r="O39" s="287" t="str">
        <f>VLOOKUP(B39,参加者登録申込書!$CB$21:$CJ$60,9,0)</f>
        <v/>
      </c>
      <c r="P39" s="147"/>
      <c r="Q39" s="148"/>
      <c r="R39" s="310" t="str">
        <f t="shared" si="14"/>
        <v/>
      </c>
      <c r="T39" s="58" t="b">
        <v>0</v>
      </c>
      <c r="U39" s="10">
        <f>IF(B39=$AA$22,IF(E39="選手",1,0),1)</f>
        <v>1</v>
      </c>
      <c r="V39" s="10">
        <f>IF(AND(TRIM(G39)="",TRIM(E39)="選手"),0,1)</f>
        <v>1</v>
      </c>
      <c r="W39" s="223" t="str">
        <f>VLOOKUP(B39,参加者登録申込書!$CB$21:$CP$59,15,0)</f>
        <v>（今回登録）</v>
      </c>
      <c r="X39" s="7" t="s">
        <v>298</v>
      </c>
      <c r="Y39" s="7" t="str">
        <f t="shared" si="1"/>
        <v>選択なし</v>
      </c>
      <c r="AB39" s="5" t="str">
        <f>IF(AND(TRIM(D39)&lt;&gt;"",TRIM(E39)&lt;&gt;""),$AG$19,"スタッフ選択15")</f>
        <v>スタッフ選択15</v>
      </c>
      <c r="AI39" s="7" t="str">
        <f>IF(F39=$AC$18,ROW(),"")</f>
        <v/>
      </c>
      <c r="AJ39" s="7" t="str">
        <f>IF(F39=$AD$18,ROW(),"")</f>
        <v/>
      </c>
      <c r="AK39" s="7" t="str">
        <f>IF(F39=$AE$18,ROW(),"")</f>
        <v/>
      </c>
      <c r="AL39" s="8" t="str">
        <f>IF(F39=$AF$18,ROW(),"")</f>
        <v/>
      </c>
      <c r="AM39" s="9" t="str">
        <f>IF(E39=$AM$18,ROW(),"")</f>
        <v/>
      </c>
      <c r="AN39" s="7" t="str">
        <f t="shared" si="7"/>
        <v>　</v>
      </c>
      <c r="AO39" s="389" t="str">
        <f t="shared" si="17"/>
        <v/>
      </c>
      <c r="AP39" s="16">
        <f t="shared" si="8"/>
        <v>0</v>
      </c>
      <c r="AQ39" s="16">
        <f>IF(E39="選手",1,IF(E39="スタッフ",2,0))</f>
        <v>0</v>
      </c>
      <c r="AR39" s="224">
        <f t="shared" si="18"/>
        <v>0</v>
      </c>
      <c r="AS39" s="223" t="str">
        <f t="shared" si="19"/>
        <v/>
      </c>
      <c r="AT39" s="16">
        <f>IF(TRIM(E39)&lt;&gt;"スタッフ",1,IF(TRIM(F39)="",0,1))</f>
        <v>1</v>
      </c>
      <c r="AU39" s="225" t="str">
        <f>IF(AND(AP39&gt;0,AQ39&gt;0),INDEX(MY_MATRIX!$D$8:E27,②選手登録名簿!AP39,②選手登録名簿!AQ39),"")</f>
        <v/>
      </c>
      <c r="AV39" t="s">
        <v>382</v>
      </c>
      <c r="AW39" s="10" t="str">
        <f t="shared" si="24"/>
        <v/>
      </c>
      <c r="AX39" s="20" t="str">
        <f t="shared" si="25"/>
        <v/>
      </c>
      <c r="AY39" s="10" t="str">
        <f>IF(COUNT($AM$22:$AM$39)&lt;ROW(A14),"",INDEX($AS$22:$AS$39,SMALL($AM$22:$AM$39,ROW(A14))-ROW($A$22)+1))</f>
        <v/>
      </c>
      <c r="AZ39" s="10" t="str">
        <f t="shared" si="26"/>
        <v/>
      </c>
      <c r="BA39" s="10" t="str">
        <f t="shared" si="22"/>
        <v/>
      </c>
      <c r="BB39" s="10" t="str">
        <f t="shared" si="23"/>
        <v/>
      </c>
      <c r="BD39" s="10" t="str">
        <f t="shared" si="11"/>
        <v>　</v>
      </c>
      <c r="BE39" s="67"/>
      <c r="BF39" s="10">
        <f t="shared" si="12"/>
        <v>1</v>
      </c>
      <c r="BH39" s="10">
        <f t="shared" si="13"/>
        <v>1</v>
      </c>
      <c r="BJ39" s="116" t="b">
        <v>0</v>
      </c>
      <c r="BK39">
        <f t="shared" si="20"/>
        <v>0</v>
      </c>
    </row>
    <row r="40" spans="2:63" ht="17.25" hidden="1" customHeight="1" x14ac:dyDescent="0.15">
      <c r="D40" s="21"/>
      <c r="J40" s="24"/>
      <c r="K40" s="23"/>
      <c r="N40" s="971" t="s">
        <v>142</v>
      </c>
      <c r="O40" s="973">
        <f>SUM(R22:R37)</f>
        <v>0</v>
      </c>
      <c r="AY40" s="10" t="str">
        <f>IF(COUNT($AM$22:$AM$39)&lt;ROW(A15),"",INDEX($AS$22:$AS$39,SMALL($AM$22:$AM$39,ROW(A15))-ROW($A$22)+1))</f>
        <v/>
      </c>
      <c r="BH40" s="10">
        <f>IF(T40,IF(TRIM(M40)="",0,1),1)</f>
        <v>1</v>
      </c>
    </row>
    <row r="41" spans="2:63" ht="21" hidden="1" customHeight="1" x14ac:dyDescent="0.15">
      <c r="N41" s="972"/>
      <c r="O41" s="974"/>
      <c r="AY41" s="10" t="str">
        <f>IF(COUNT($AM$22:$AM$39)&lt;ROW(A16),"",INDEX($AS$22:$AS$39,SMALL($AM$22:$AM$39,ROW(A16))-ROW($A$22)+1))</f>
        <v/>
      </c>
      <c r="BH41" s="10">
        <f>IF(T41,IF(TRIM(M41)="",0,1),1)</f>
        <v>1</v>
      </c>
    </row>
    <row r="42" spans="2:63" ht="21" customHeight="1" x14ac:dyDescent="0.15">
      <c r="D42" s="21"/>
      <c r="O42" s="115" t="str">
        <f>"(注)年齢は、"&amp;TEXT(MY_NAME_DEF!D21,"yyyy")&amp;"年"&amp;TEXT(MY_NAME_DEF!D21,"m")&amp;"月"&amp;TEXT(MY_NAME_DEF!D21,"d")&amp;"日"&amp;"時点で計算しています。"</f>
        <v>(注)年齢は、2023年4月1日時点で計算しています。</v>
      </c>
    </row>
    <row r="44" spans="2:63" ht="24" x14ac:dyDescent="0.25">
      <c r="S44" s="312" t="s">
        <v>122</v>
      </c>
    </row>
  </sheetData>
  <sheetProtection password="FFBB" sheet="1" objects="1" scenarios="1"/>
  <mergeCells count="29">
    <mergeCell ref="B1:Q1"/>
    <mergeCell ref="B2:Q2"/>
    <mergeCell ref="B5:D5"/>
    <mergeCell ref="E5:K5"/>
    <mergeCell ref="E7:K7"/>
    <mergeCell ref="E9:K9"/>
    <mergeCell ref="N40:N41"/>
    <mergeCell ref="O40:O41"/>
    <mergeCell ref="E10:K10"/>
    <mergeCell ref="B18:B19"/>
    <mergeCell ref="C18:C19"/>
    <mergeCell ref="G18:G19"/>
    <mergeCell ref="D18:D19"/>
    <mergeCell ref="E18:E19"/>
    <mergeCell ref="F18:F19"/>
    <mergeCell ref="B6:D10"/>
    <mergeCell ref="E6:K6"/>
    <mergeCell ref="I17:Q17"/>
    <mergeCell ref="B11:D11"/>
    <mergeCell ref="E8:K8"/>
    <mergeCell ref="G11:Q12"/>
    <mergeCell ref="R18:R19"/>
    <mergeCell ref="H18:H19"/>
    <mergeCell ref="I18:J18"/>
    <mergeCell ref="K18:L18"/>
    <mergeCell ref="M18:M19"/>
    <mergeCell ref="O18:O19"/>
    <mergeCell ref="P18:P19"/>
    <mergeCell ref="Q18:Q19"/>
  </mergeCells>
  <phoneticPr fontId="1"/>
  <conditionalFormatting sqref="C22:C39">
    <cfRule type="expression" dxfId="32" priority="16" stopIfTrue="1">
      <formula>U22=0</formula>
    </cfRule>
  </conditionalFormatting>
  <conditionalFormatting sqref="D22:D39">
    <cfRule type="expression" dxfId="31" priority="15" stopIfTrue="1">
      <formula>AND(AP22&lt;&gt;0,AQ22&lt;&gt;0,AR22=0)</formula>
    </cfRule>
  </conditionalFormatting>
  <conditionalFormatting sqref="E22:E39">
    <cfRule type="expression" dxfId="30" priority="14" stopIfTrue="1">
      <formula>AND(AP22&lt;&gt;0,AQ22&lt;&gt;0,AR22=0)</formula>
    </cfRule>
  </conditionalFormatting>
  <conditionalFormatting sqref="F22:F39">
    <cfRule type="expression" dxfId="29" priority="4" stopIfTrue="1">
      <formula>E22="選手"</formula>
    </cfRule>
    <cfRule type="expression" dxfId="28" priority="77" stopIfTrue="1">
      <formula>AT22=0</formula>
    </cfRule>
  </conditionalFormatting>
  <conditionalFormatting sqref="G22:G39">
    <cfRule type="expression" dxfId="27" priority="88" stopIfTrue="1">
      <formula>E22="スタッフ"</formula>
    </cfRule>
    <cfRule type="expression" dxfId="26" priority="89" stopIfTrue="1">
      <formula>V22=0</formula>
    </cfRule>
    <cfRule type="expression" dxfId="25" priority="90" stopIfTrue="1">
      <formula>COUNTIF($G$22:$G$37,G22)&gt;1</formula>
    </cfRule>
  </conditionalFormatting>
  <conditionalFormatting sqref="H21">
    <cfRule type="expression" dxfId="24" priority="54" stopIfTrue="1">
      <formula>OR($U$2=1,$V$2=1,$W$2=1,BJ21&gt;2,BK21&lt;&gt;0)</formula>
    </cfRule>
  </conditionalFormatting>
  <conditionalFormatting sqref="H22:H39">
    <cfRule type="expression" dxfId="23" priority="1" stopIfTrue="1">
      <formula>AND(BJ22=TRUE,OR($BJ$21&gt;2,BK22&lt;&gt;0))</formula>
    </cfRule>
  </conditionalFormatting>
  <conditionalFormatting sqref="I22:I39">
    <cfRule type="expression" dxfId="22" priority="104" stopIfTrue="1">
      <formula>AND(D22&lt;&gt;"",E22&lt;&gt;"",TRIM(I22)="")</formula>
    </cfRule>
    <cfRule type="expression" dxfId="21" priority="105" stopIfTrue="1">
      <formula>COUNTIF($AW$26:$AW$37,CONCATENATE(TRIM(I22),"　",TRIM(J22)))&gt;1</formula>
    </cfRule>
  </conditionalFormatting>
  <conditionalFormatting sqref="J21">
    <cfRule type="expression" dxfId="20" priority="70" stopIfTrue="1">
      <formula>$U$2=1</formula>
    </cfRule>
  </conditionalFormatting>
  <conditionalFormatting sqref="J22:J39">
    <cfRule type="expression" dxfId="19" priority="106" stopIfTrue="1">
      <formula>AND(D22&lt;&gt;"",E22&lt;&gt;"",TRIM(J22)="")</formula>
    </cfRule>
    <cfRule type="expression" dxfId="18" priority="107" stopIfTrue="1">
      <formula>COUNTIF($AW$26:$AW$37,CONCATENATE(TRIM(I22),"　",TRIM(J22)))&gt;1</formula>
    </cfRule>
  </conditionalFormatting>
  <conditionalFormatting sqref="K22:K39">
    <cfRule type="expression" dxfId="17" priority="48" stopIfTrue="1">
      <formula>AND(T22,TRIM(K22)="")</formula>
    </cfRule>
    <cfRule type="expression" dxfId="16" priority="57" stopIfTrue="1">
      <formula>AND(E22="選手",TRIM(K22)="")</formula>
    </cfRule>
  </conditionalFormatting>
  <conditionalFormatting sqref="L22:L39">
    <cfRule type="expression" dxfId="15" priority="99" stopIfTrue="1">
      <formula>AND(T22,TRIM(L22)="")</formula>
    </cfRule>
    <cfRule type="expression" dxfId="14" priority="100" stopIfTrue="1">
      <formula>AND(E22="選手",TRIM(L22)="")</formula>
    </cfRule>
  </conditionalFormatting>
  <conditionalFormatting sqref="N22:N39">
    <cfRule type="expression" dxfId="13" priority="9" stopIfTrue="1">
      <formula>AND(T22,TRIM(N22)="")</formula>
    </cfRule>
  </conditionalFormatting>
  <conditionalFormatting sqref="P22:P39">
    <cfRule type="expression" dxfId="12" priority="18">
      <formula>E22="スタッフ"</formula>
    </cfRule>
  </conditionalFormatting>
  <dataValidations count="6">
    <dataValidation type="list" allowBlank="1" showInputMessage="1" showErrorMessage="1" errorTitle="「スタッフ種別」に不正なデータ入力" error="入力データの内容が誤っています。_x000a__x000a_［キャンセル］ボタンを押し、セルの右側にある［▼］をクリックして下さい。_x000a__x000a_そこに表示された内容から該当するデータを選択して下さい。_x000a_" sqref="F22:F39" xr:uid="{00000000-0002-0000-0500-000000000000}">
      <formula1>INDIRECT(AB22)</formula1>
    </dataValidation>
    <dataValidation imeMode="off" allowBlank="1" showInputMessage="1" showErrorMessage="1" sqref="N22:O39 I22:L39 G22:G39" xr:uid="{00000000-0002-0000-0500-000001000000}"/>
    <dataValidation imeMode="on" allowBlank="1" showInputMessage="1" showErrorMessage="1" sqref="Q22:Q39 E6:K10" xr:uid="{00000000-0002-0000-0500-000002000000}"/>
    <dataValidation type="list" allowBlank="1" showInputMessage="1" showErrorMessage="1" errorTitle="「参加料」に不正なデータ入力" error="入力データの内容が誤っています。_x000a__x000a_［キャンセル］ボタンを押し、セルの右側にある［▼］をクリックして下さい。_x000a__x000a_そこに表示された内容から該当するデータを選択して下さい。_x000a_" sqref="E22:E39" xr:uid="{00000000-0002-0000-0500-000003000000}">
      <formula1>INDIRECT(Y22)</formula1>
    </dataValidation>
    <dataValidation type="whole" imeMode="off" operator="greaterThan" allowBlank="1" showInputMessage="1" showErrorMessage="1" errorTitle="入力したデータが誤っています" error="身長には数字データを入力してください。" sqref="P22:P39" xr:uid="{00000000-0002-0000-0500-000004000000}">
      <formula1>0</formula1>
    </dataValidation>
    <dataValidation type="whole" imeMode="off" operator="greaterThanOrEqual" allowBlank="1" showInputMessage="1" showErrorMessage="1" sqref="E11" xr:uid="{00000000-0002-0000-0500-000005000000}">
      <formula1>0</formula1>
    </dataValidation>
  </dataValidations>
  <pageMargins left="0.31496062992125984" right="0.11811023622047245" top="0.35433070866141736" bottom="0.35433070866141736" header="0.11811023622047245" footer="0.11811023622047245"/>
  <pageSetup paperSize="9" scale="94" orientation="landscape" r:id="rId1"/>
  <headerFoot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nchor moveWithCells="1">
                  <from>
                    <xdr:col>2</xdr:col>
                    <xdr:colOff>95250</xdr:colOff>
                    <xdr:row>21</xdr:row>
                    <xdr:rowOff>57150</xdr:rowOff>
                  </from>
                  <to>
                    <xdr:col>2</xdr:col>
                    <xdr:colOff>314325</xdr:colOff>
                    <xdr:row>21</xdr:row>
                    <xdr:rowOff>276225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2</xdr:col>
                    <xdr:colOff>95250</xdr:colOff>
                    <xdr:row>22</xdr:row>
                    <xdr:rowOff>57150</xdr:rowOff>
                  </from>
                  <to>
                    <xdr:col>2</xdr:col>
                    <xdr:colOff>314325</xdr:colOff>
                    <xdr:row>22</xdr:row>
                    <xdr:rowOff>276225</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2</xdr:col>
                    <xdr:colOff>95250</xdr:colOff>
                    <xdr:row>23</xdr:row>
                    <xdr:rowOff>57150</xdr:rowOff>
                  </from>
                  <to>
                    <xdr:col>2</xdr:col>
                    <xdr:colOff>314325</xdr:colOff>
                    <xdr:row>23</xdr:row>
                    <xdr:rowOff>276225</xdr:rowOff>
                  </to>
                </anchor>
              </controlPr>
            </control>
          </mc:Choice>
        </mc:AlternateContent>
        <mc:AlternateContent xmlns:mc="http://schemas.openxmlformats.org/markup-compatibility/2006">
          <mc:Choice Requires="x14">
            <control shapeId="1028" r:id="rId7" name="Option Button 4">
              <controlPr locked="0" defaultSize="0" autoFill="0" autoLine="0" autoPict="0">
                <anchor moveWithCells="1">
                  <from>
                    <xdr:col>2</xdr:col>
                    <xdr:colOff>95250</xdr:colOff>
                    <xdr:row>24</xdr:row>
                    <xdr:rowOff>57150</xdr:rowOff>
                  </from>
                  <to>
                    <xdr:col>2</xdr:col>
                    <xdr:colOff>314325</xdr:colOff>
                    <xdr:row>24</xdr:row>
                    <xdr:rowOff>276225</xdr:rowOff>
                  </to>
                </anchor>
              </controlPr>
            </control>
          </mc:Choice>
        </mc:AlternateContent>
        <mc:AlternateContent xmlns:mc="http://schemas.openxmlformats.org/markup-compatibility/2006">
          <mc:Choice Requires="x14">
            <control shapeId="1029" r:id="rId8" name="Option Button 5">
              <controlPr locked="0" defaultSize="0" autoFill="0" autoLine="0" autoPict="0">
                <anchor moveWithCells="1">
                  <from>
                    <xdr:col>2</xdr:col>
                    <xdr:colOff>95250</xdr:colOff>
                    <xdr:row>25</xdr:row>
                    <xdr:rowOff>47625</xdr:rowOff>
                  </from>
                  <to>
                    <xdr:col>2</xdr:col>
                    <xdr:colOff>314325</xdr:colOff>
                    <xdr:row>25</xdr:row>
                    <xdr:rowOff>266700</xdr:rowOff>
                  </to>
                </anchor>
              </controlPr>
            </control>
          </mc:Choice>
        </mc:AlternateContent>
        <mc:AlternateContent xmlns:mc="http://schemas.openxmlformats.org/markup-compatibility/2006">
          <mc:Choice Requires="x14">
            <control shapeId="1030" r:id="rId9" name="Option Button 6">
              <controlPr locked="0" defaultSize="0" autoFill="0" autoLine="0" autoPict="0">
                <anchor moveWithCells="1">
                  <from>
                    <xdr:col>2</xdr:col>
                    <xdr:colOff>95250</xdr:colOff>
                    <xdr:row>26</xdr:row>
                    <xdr:rowOff>47625</xdr:rowOff>
                  </from>
                  <to>
                    <xdr:col>2</xdr:col>
                    <xdr:colOff>314325</xdr:colOff>
                    <xdr:row>26</xdr:row>
                    <xdr:rowOff>266700</xdr:rowOff>
                  </to>
                </anchor>
              </controlPr>
            </control>
          </mc:Choice>
        </mc:AlternateContent>
        <mc:AlternateContent xmlns:mc="http://schemas.openxmlformats.org/markup-compatibility/2006">
          <mc:Choice Requires="x14">
            <control shapeId="1031" r:id="rId10" name="Option Button 7">
              <controlPr locked="0" defaultSize="0" autoFill="0" autoLine="0" autoPict="0">
                <anchor moveWithCells="1">
                  <from>
                    <xdr:col>2</xdr:col>
                    <xdr:colOff>95250</xdr:colOff>
                    <xdr:row>27</xdr:row>
                    <xdr:rowOff>47625</xdr:rowOff>
                  </from>
                  <to>
                    <xdr:col>2</xdr:col>
                    <xdr:colOff>314325</xdr:colOff>
                    <xdr:row>27</xdr:row>
                    <xdr:rowOff>266700</xdr:rowOff>
                  </to>
                </anchor>
              </controlPr>
            </control>
          </mc:Choice>
        </mc:AlternateContent>
        <mc:AlternateContent xmlns:mc="http://schemas.openxmlformats.org/markup-compatibility/2006">
          <mc:Choice Requires="x14">
            <control shapeId="1032" r:id="rId11" name="Option Button 8">
              <controlPr locked="0" defaultSize="0" autoFill="0" autoLine="0" autoPict="0">
                <anchor moveWithCells="1">
                  <from>
                    <xdr:col>2</xdr:col>
                    <xdr:colOff>95250</xdr:colOff>
                    <xdr:row>28</xdr:row>
                    <xdr:rowOff>47625</xdr:rowOff>
                  </from>
                  <to>
                    <xdr:col>2</xdr:col>
                    <xdr:colOff>314325</xdr:colOff>
                    <xdr:row>28</xdr:row>
                    <xdr:rowOff>266700</xdr:rowOff>
                  </to>
                </anchor>
              </controlPr>
            </control>
          </mc:Choice>
        </mc:AlternateContent>
        <mc:AlternateContent xmlns:mc="http://schemas.openxmlformats.org/markup-compatibility/2006">
          <mc:Choice Requires="x14">
            <control shapeId="1033" r:id="rId12" name="Option Button 9">
              <controlPr locked="0" defaultSize="0" autoFill="0" autoLine="0" autoPict="0">
                <anchor moveWithCells="1">
                  <from>
                    <xdr:col>2</xdr:col>
                    <xdr:colOff>95250</xdr:colOff>
                    <xdr:row>29</xdr:row>
                    <xdr:rowOff>47625</xdr:rowOff>
                  </from>
                  <to>
                    <xdr:col>2</xdr:col>
                    <xdr:colOff>314325</xdr:colOff>
                    <xdr:row>29</xdr:row>
                    <xdr:rowOff>266700</xdr:rowOff>
                  </to>
                </anchor>
              </controlPr>
            </control>
          </mc:Choice>
        </mc:AlternateContent>
        <mc:AlternateContent xmlns:mc="http://schemas.openxmlformats.org/markup-compatibility/2006">
          <mc:Choice Requires="x14">
            <control shapeId="1034" r:id="rId13" name="Option Button 10">
              <controlPr locked="0" defaultSize="0" autoFill="0" autoLine="0" autoPict="0">
                <anchor moveWithCells="1">
                  <from>
                    <xdr:col>2</xdr:col>
                    <xdr:colOff>95250</xdr:colOff>
                    <xdr:row>30</xdr:row>
                    <xdr:rowOff>47625</xdr:rowOff>
                  </from>
                  <to>
                    <xdr:col>2</xdr:col>
                    <xdr:colOff>314325</xdr:colOff>
                    <xdr:row>30</xdr:row>
                    <xdr:rowOff>266700</xdr:rowOff>
                  </to>
                </anchor>
              </controlPr>
            </control>
          </mc:Choice>
        </mc:AlternateContent>
        <mc:AlternateContent xmlns:mc="http://schemas.openxmlformats.org/markup-compatibility/2006">
          <mc:Choice Requires="x14">
            <control shapeId="1035" r:id="rId14" name="Option Button 11">
              <controlPr locked="0" defaultSize="0" autoFill="0" autoLine="0" autoPict="0">
                <anchor moveWithCells="1">
                  <from>
                    <xdr:col>2</xdr:col>
                    <xdr:colOff>95250</xdr:colOff>
                    <xdr:row>31</xdr:row>
                    <xdr:rowOff>57150</xdr:rowOff>
                  </from>
                  <to>
                    <xdr:col>2</xdr:col>
                    <xdr:colOff>314325</xdr:colOff>
                    <xdr:row>31</xdr:row>
                    <xdr:rowOff>276225</xdr:rowOff>
                  </to>
                </anchor>
              </controlPr>
            </control>
          </mc:Choice>
        </mc:AlternateContent>
        <mc:AlternateContent xmlns:mc="http://schemas.openxmlformats.org/markup-compatibility/2006">
          <mc:Choice Requires="x14">
            <control shapeId="1036" r:id="rId15" name="Option Button 12">
              <controlPr locked="0" defaultSize="0" autoFill="0" autoLine="0" autoPict="0">
                <anchor moveWithCells="1">
                  <from>
                    <xdr:col>2</xdr:col>
                    <xdr:colOff>95250</xdr:colOff>
                    <xdr:row>32</xdr:row>
                    <xdr:rowOff>47625</xdr:rowOff>
                  </from>
                  <to>
                    <xdr:col>2</xdr:col>
                    <xdr:colOff>314325</xdr:colOff>
                    <xdr:row>32</xdr:row>
                    <xdr:rowOff>266700</xdr:rowOff>
                  </to>
                </anchor>
              </controlPr>
            </control>
          </mc:Choice>
        </mc:AlternateContent>
        <mc:AlternateContent xmlns:mc="http://schemas.openxmlformats.org/markup-compatibility/2006">
          <mc:Choice Requires="x14">
            <control shapeId="1037" r:id="rId16" name="Option Button 13">
              <controlPr locked="0" defaultSize="0" autoFill="0" autoLine="0" autoPict="0">
                <anchor moveWithCells="1">
                  <from>
                    <xdr:col>2</xdr:col>
                    <xdr:colOff>95250</xdr:colOff>
                    <xdr:row>33</xdr:row>
                    <xdr:rowOff>47625</xdr:rowOff>
                  </from>
                  <to>
                    <xdr:col>2</xdr:col>
                    <xdr:colOff>314325</xdr:colOff>
                    <xdr:row>33</xdr:row>
                    <xdr:rowOff>266700</xdr:rowOff>
                  </to>
                </anchor>
              </controlPr>
            </control>
          </mc:Choice>
        </mc:AlternateContent>
        <mc:AlternateContent xmlns:mc="http://schemas.openxmlformats.org/markup-compatibility/2006">
          <mc:Choice Requires="x14">
            <control shapeId="1038" r:id="rId17" name="Option Button 14">
              <controlPr locked="0" defaultSize="0" autoFill="0" autoLine="0" autoPict="0">
                <anchor moveWithCells="1">
                  <from>
                    <xdr:col>2</xdr:col>
                    <xdr:colOff>95250</xdr:colOff>
                    <xdr:row>34</xdr:row>
                    <xdr:rowOff>57150</xdr:rowOff>
                  </from>
                  <to>
                    <xdr:col>2</xdr:col>
                    <xdr:colOff>314325</xdr:colOff>
                    <xdr:row>34</xdr:row>
                    <xdr:rowOff>276225</xdr:rowOff>
                  </to>
                </anchor>
              </controlPr>
            </control>
          </mc:Choice>
        </mc:AlternateContent>
        <mc:AlternateContent xmlns:mc="http://schemas.openxmlformats.org/markup-compatibility/2006">
          <mc:Choice Requires="x14">
            <control shapeId="1039" r:id="rId18" name="Option Button 15">
              <controlPr locked="0" defaultSize="0" autoFill="0" autoLine="0" autoPict="0">
                <anchor moveWithCells="1">
                  <from>
                    <xdr:col>2</xdr:col>
                    <xdr:colOff>95250</xdr:colOff>
                    <xdr:row>35</xdr:row>
                    <xdr:rowOff>47625</xdr:rowOff>
                  </from>
                  <to>
                    <xdr:col>2</xdr:col>
                    <xdr:colOff>314325</xdr:colOff>
                    <xdr:row>35</xdr:row>
                    <xdr:rowOff>266700</xdr:rowOff>
                  </to>
                </anchor>
              </controlPr>
            </control>
          </mc:Choice>
        </mc:AlternateContent>
        <mc:AlternateContent xmlns:mc="http://schemas.openxmlformats.org/markup-compatibility/2006">
          <mc:Choice Requires="x14">
            <control shapeId="1040" r:id="rId19" name="Option Button 16">
              <controlPr locked="0" defaultSize="0" autoFill="0" autoLine="0" autoPict="0">
                <anchor moveWithCells="1">
                  <from>
                    <xdr:col>2</xdr:col>
                    <xdr:colOff>95250</xdr:colOff>
                    <xdr:row>36</xdr:row>
                    <xdr:rowOff>57150</xdr:rowOff>
                  </from>
                  <to>
                    <xdr:col>2</xdr:col>
                    <xdr:colOff>314325</xdr:colOff>
                    <xdr:row>36</xdr:row>
                    <xdr:rowOff>276225</xdr:rowOff>
                  </to>
                </anchor>
              </controlPr>
            </control>
          </mc:Choice>
        </mc:AlternateContent>
        <mc:AlternateContent xmlns:mc="http://schemas.openxmlformats.org/markup-compatibility/2006">
          <mc:Choice Requires="x14">
            <control shapeId="1921" r:id="rId20" name="Option Button 897">
              <controlPr locked="0" defaultSize="0" autoFill="0" autoLine="0" autoPict="0">
                <anchor moveWithCells="1">
                  <from>
                    <xdr:col>2</xdr:col>
                    <xdr:colOff>95250</xdr:colOff>
                    <xdr:row>37</xdr:row>
                    <xdr:rowOff>57150</xdr:rowOff>
                  </from>
                  <to>
                    <xdr:col>2</xdr:col>
                    <xdr:colOff>314325</xdr:colOff>
                    <xdr:row>37</xdr:row>
                    <xdr:rowOff>276225</xdr:rowOff>
                  </to>
                </anchor>
              </controlPr>
            </control>
          </mc:Choice>
        </mc:AlternateContent>
        <mc:AlternateContent xmlns:mc="http://schemas.openxmlformats.org/markup-compatibility/2006">
          <mc:Choice Requires="x14">
            <control shapeId="1922" r:id="rId21" name="Option Button 898">
              <controlPr locked="0" defaultSize="0" autoFill="0" autoLine="0" autoPict="0">
                <anchor moveWithCells="1">
                  <from>
                    <xdr:col>2</xdr:col>
                    <xdr:colOff>95250</xdr:colOff>
                    <xdr:row>38</xdr:row>
                    <xdr:rowOff>57150</xdr:rowOff>
                  </from>
                  <to>
                    <xdr:col>2</xdr:col>
                    <xdr:colOff>314325</xdr:colOff>
                    <xdr:row>38</xdr:row>
                    <xdr:rowOff>276225</xdr:rowOff>
                  </to>
                </anchor>
              </controlPr>
            </control>
          </mc:Choice>
        </mc:AlternateContent>
        <mc:AlternateContent xmlns:mc="http://schemas.openxmlformats.org/markup-compatibility/2006">
          <mc:Choice Requires="x14">
            <control shapeId="1923" r:id="rId22" name="Option Button 899">
              <controlPr locked="0" defaultSize="0" autoFill="0" autoLine="0" autoPict="0">
                <anchor moveWithCells="1">
                  <from>
                    <xdr:col>2</xdr:col>
                    <xdr:colOff>95250</xdr:colOff>
                    <xdr:row>19</xdr:row>
                    <xdr:rowOff>57150</xdr:rowOff>
                  </from>
                  <to>
                    <xdr:col>2</xdr:col>
                    <xdr:colOff>314325</xdr:colOff>
                    <xdr:row>19</xdr:row>
                    <xdr:rowOff>276225</xdr:rowOff>
                  </to>
                </anchor>
              </controlPr>
            </control>
          </mc:Choice>
        </mc:AlternateContent>
        <mc:AlternateContent xmlns:mc="http://schemas.openxmlformats.org/markup-compatibility/2006">
          <mc:Choice Requires="x14">
            <control shapeId="35888" r:id="rId23" name="Check Box 1072">
              <controlPr locked="0" defaultSize="0" autoFill="0" autoLine="0" autoPict="0">
                <anchor moveWithCells="1">
                  <from>
                    <xdr:col>7</xdr:col>
                    <xdr:colOff>104775</xdr:colOff>
                    <xdr:row>21</xdr:row>
                    <xdr:rowOff>66675</xdr:rowOff>
                  </from>
                  <to>
                    <xdr:col>7</xdr:col>
                    <xdr:colOff>352425</xdr:colOff>
                    <xdr:row>21</xdr:row>
                    <xdr:rowOff>266700</xdr:rowOff>
                  </to>
                </anchor>
              </controlPr>
            </control>
          </mc:Choice>
        </mc:AlternateContent>
        <mc:AlternateContent xmlns:mc="http://schemas.openxmlformats.org/markup-compatibility/2006">
          <mc:Choice Requires="x14">
            <control shapeId="35898" r:id="rId24" name="Check Box 1082">
              <controlPr locked="0" defaultSize="0" autoFill="0" autoLine="0" autoPict="0">
                <anchor moveWithCells="1">
                  <from>
                    <xdr:col>7</xdr:col>
                    <xdr:colOff>104775</xdr:colOff>
                    <xdr:row>22</xdr:row>
                    <xdr:rowOff>66675</xdr:rowOff>
                  </from>
                  <to>
                    <xdr:col>7</xdr:col>
                    <xdr:colOff>352425</xdr:colOff>
                    <xdr:row>22</xdr:row>
                    <xdr:rowOff>266700</xdr:rowOff>
                  </to>
                </anchor>
              </controlPr>
            </control>
          </mc:Choice>
        </mc:AlternateContent>
        <mc:AlternateContent xmlns:mc="http://schemas.openxmlformats.org/markup-compatibility/2006">
          <mc:Choice Requires="x14">
            <control shapeId="35899" r:id="rId25" name="Check Box 1083">
              <controlPr locked="0" defaultSize="0" autoFill="0" autoLine="0" autoPict="0">
                <anchor moveWithCells="1">
                  <from>
                    <xdr:col>7</xdr:col>
                    <xdr:colOff>104775</xdr:colOff>
                    <xdr:row>23</xdr:row>
                    <xdr:rowOff>66675</xdr:rowOff>
                  </from>
                  <to>
                    <xdr:col>7</xdr:col>
                    <xdr:colOff>352425</xdr:colOff>
                    <xdr:row>23</xdr:row>
                    <xdr:rowOff>266700</xdr:rowOff>
                  </to>
                </anchor>
              </controlPr>
            </control>
          </mc:Choice>
        </mc:AlternateContent>
        <mc:AlternateContent xmlns:mc="http://schemas.openxmlformats.org/markup-compatibility/2006">
          <mc:Choice Requires="x14">
            <control shapeId="35900" r:id="rId26" name="Check Box 1084">
              <controlPr locked="0" defaultSize="0" autoFill="0" autoLine="0" autoPict="0">
                <anchor moveWithCells="1">
                  <from>
                    <xdr:col>7</xdr:col>
                    <xdr:colOff>104775</xdr:colOff>
                    <xdr:row>24</xdr:row>
                    <xdr:rowOff>66675</xdr:rowOff>
                  </from>
                  <to>
                    <xdr:col>7</xdr:col>
                    <xdr:colOff>352425</xdr:colOff>
                    <xdr:row>24</xdr:row>
                    <xdr:rowOff>266700</xdr:rowOff>
                  </to>
                </anchor>
              </controlPr>
            </control>
          </mc:Choice>
        </mc:AlternateContent>
        <mc:AlternateContent xmlns:mc="http://schemas.openxmlformats.org/markup-compatibility/2006">
          <mc:Choice Requires="x14">
            <control shapeId="35901" r:id="rId27" name="Check Box 1085">
              <controlPr locked="0" defaultSize="0" autoFill="0" autoLine="0" autoPict="0">
                <anchor moveWithCells="1">
                  <from>
                    <xdr:col>7</xdr:col>
                    <xdr:colOff>104775</xdr:colOff>
                    <xdr:row>25</xdr:row>
                    <xdr:rowOff>66675</xdr:rowOff>
                  </from>
                  <to>
                    <xdr:col>7</xdr:col>
                    <xdr:colOff>352425</xdr:colOff>
                    <xdr:row>25</xdr:row>
                    <xdr:rowOff>266700</xdr:rowOff>
                  </to>
                </anchor>
              </controlPr>
            </control>
          </mc:Choice>
        </mc:AlternateContent>
        <mc:AlternateContent xmlns:mc="http://schemas.openxmlformats.org/markup-compatibility/2006">
          <mc:Choice Requires="x14">
            <control shapeId="35902" r:id="rId28" name="Check Box 1086">
              <controlPr locked="0" defaultSize="0" autoFill="0" autoLine="0" autoPict="0">
                <anchor moveWithCells="1">
                  <from>
                    <xdr:col>7</xdr:col>
                    <xdr:colOff>104775</xdr:colOff>
                    <xdr:row>26</xdr:row>
                    <xdr:rowOff>66675</xdr:rowOff>
                  </from>
                  <to>
                    <xdr:col>7</xdr:col>
                    <xdr:colOff>352425</xdr:colOff>
                    <xdr:row>26</xdr:row>
                    <xdr:rowOff>266700</xdr:rowOff>
                  </to>
                </anchor>
              </controlPr>
            </control>
          </mc:Choice>
        </mc:AlternateContent>
        <mc:AlternateContent xmlns:mc="http://schemas.openxmlformats.org/markup-compatibility/2006">
          <mc:Choice Requires="x14">
            <control shapeId="35903" r:id="rId29" name="Check Box 1087">
              <controlPr locked="0" defaultSize="0" autoFill="0" autoLine="0" autoPict="0">
                <anchor moveWithCells="1">
                  <from>
                    <xdr:col>7</xdr:col>
                    <xdr:colOff>104775</xdr:colOff>
                    <xdr:row>27</xdr:row>
                    <xdr:rowOff>66675</xdr:rowOff>
                  </from>
                  <to>
                    <xdr:col>7</xdr:col>
                    <xdr:colOff>352425</xdr:colOff>
                    <xdr:row>27</xdr:row>
                    <xdr:rowOff>266700</xdr:rowOff>
                  </to>
                </anchor>
              </controlPr>
            </control>
          </mc:Choice>
        </mc:AlternateContent>
        <mc:AlternateContent xmlns:mc="http://schemas.openxmlformats.org/markup-compatibility/2006">
          <mc:Choice Requires="x14">
            <control shapeId="35904" r:id="rId30" name="Check Box 1088">
              <controlPr locked="0" defaultSize="0" autoFill="0" autoLine="0" autoPict="0">
                <anchor moveWithCells="1">
                  <from>
                    <xdr:col>7</xdr:col>
                    <xdr:colOff>104775</xdr:colOff>
                    <xdr:row>28</xdr:row>
                    <xdr:rowOff>66675</xdr:rowOff>
                  </from>
                  <to>
                    <xdr:col>7</xdr:col>
                    <xdr:colOff>352425</xdr:colOff>
                    <xdr:row>28</xdr:row>
                    <xdr:rowOff>266700</xdr:rowOff>
                  </to>
                </anchor>
              </controlPr>
            </control>
          </mc:Choice>
        </mc:AlternateContent>
        <mc:AlternateContent xmlns:mc="http://schemas.openxmlformats.org/markup-compatibility/2006">
          <mc:Choice Requires="x14">
            <control shapeId="35905" r:id="rId31" name="Check Box 1089">
              <controlPr locked="0" defaultSize="0" autoFill="0" autoLine="0" autoPict="0">
                <anchor moveWithCells="1">
                  <from>
                    <xdr:col>7</xdr:col>
                    <xdr:colOff>104775</xdr:colOff>
                    <xdr:row>29</xdr:row>
                    <xdr:rowOff>66675</xdr:rowOff>
                  </from>
                  <to>
                    <xdr:col>7</xdr:col>
                    <xdr:colOff>352425</xdr:colOff>
                    <xdr:row>29</xdr:row>
                    <xdr:rowOff>266700</xdr:rowOff>
                  </to>
                </anchor>
              </controlPr>
            </control>
          </mc:Choice>
        </mc:AlternateContent>
        <mc:AlternateContent xmlns:mc="http://schemas.openxmlformats.org/markup-compatibility/2006">
          <mc:Choice Requires="x14">
            <control shapeId="35906" r:id="rId32" name="Check Box 1090">
              <controlPr locked="0" defaultSize="0" autoFill="0" autoLine="0" autoPict="0">
                <anchor moveWithCells="1">
                  <from>
                    <xdr:col>7</xdr:col>
                    <xdr:colOff>104775</xdr:colOff>
                    <xdr:row>30</xdr:row>
                    <xdr:rowOff>66675</xdr:rowOff>
                  </from>
                  <to>
                    <xdr:col>7</xdr:col>
                    <xdr:colOff>352425</xdr:colOff>
                    <xdr:row>30</xdr:row>
                    <xdr:rowOff>266700</xdr:rowOff>
                  </to>
                </anchor>
              </controlPr>
            </control>
          </mc:Choice>
        </mc:AlternateContent>
        <mc:AlternateContent xmlns:mc="http://schemas.openxmlformats.org/markup-compatibility/2006">
          <mc:Choice Requires="x14">
            <control shapeId="35907" r:id="rId33" name="Check Box 1091">
              <controlPr locked="0" defaultSize="0" autoFill="0" autoLine="0" autoPict="0">
                <anchor moveWithCells="1">
                  <from>
                    <xdr:col>7</xdr:col>
                    <xdr:colOff>104775</xdr:colOff>
                    <xdr:row>31</xdr:row>
                    <xdr:rowOff>66675</xdr:rowOff>
                  </from>
                  <to>
                    <xdr:col>7</xdr:col>
                    <xdr:colOff>352425</xdr:colOff>
                    <xdr:row>31</xdr:row>
                    <xdr:rowOff>266700</xdr:rowOff>
                  </to>
                </anchor>
              </controlPr>
            </control>
          </mc:Choice>
        </mc:AlternateContent>
        <mc:AlternateContent xmlns:mc="http://schemas.openxmlformats.org/markup-compatibility/2006">
          <mc:Choice Requires="x14">
            <control shapeId="35908" r:id="rId34" name="Check Box 1092">
              <controlPr locked="0" defaultSize="0" autoFill="0" autoLine="0" autoPict="0">
                <anchor moveWithCells="1">
                  <from>
                    <xdr:col>7</xdr:col>
                    <xdr:colOff>104775</xdr:colOff>
                    <xdr:row>32</xdr:row>
                    <xdr:rowOff>66675</xdr:rowOff>
                  </from>
                  <to>
                    <xdr:col>7</xdr:col>
                    <xdr:colOff>352425</xdr:colOff>
                    <xdr:row>32</xdr:row>
                    <xdr:rowOff>266700</xdr:rowOff>
                  </to>
                </anchor>
              </controlPr>
            </control>
          </mc:Choice>
        </mc:AlternateContent>
        <mc:AlternateContent xmlns:mc="http://schemas.openxmlformats.org/markup-compatibility/2006">
          <mc:Choice Requires="x14">
            <control shapeId="35909" r:id="rId35" name="Check Box 1093">
              <controlPr locked="0" defaultSize="0" autoFill="0" autoLine="0" autoPict="0">
                <anchor moveWithCells="1">
                  <from>
                    <xdr:col>7</xdr:col>
                    <xdr:colOff>104775</xdr:colOff>
                    <xdr:row>33</xdr:row>
                    <xdr:rowOff>66675</xdr:rowOff>
                  </from>
                  <to>
                    <xdr:col>7</xdr:col>
                    <xdr:colOff>352425</xdr:colOff>
                    <xdr:row>33</xdr:row>
                    <xdr:rowOff>266700</xdr:rowOff>
                  </to>
                </anchor>
              </controlPr>
            </control>
          </mc:Choice>
        </mc:AlternateContent>
        <mc:AlternateContent xmlns:mc="http://schemas.openxmlformats.org/markup-compatibility/2006">
          <mc:Choice Requires="x14">
            <control shapeId="35910" r:id="rId36" name="Check Box 1094">
              <controlPr locked="0" defaultSize="0" autoFill="0" autoLine="0" autoPict="0">
                <anchor moveWithCells="1">
                  <from>
                    <xdr:col>7</xdr:col>
                    <xdr:colOff>104775</xdr:colOff>
                    <xdr:row>34</xdr:row>
                    <xdr:rowOff>66675</xdr:rowOff>
                  </from>
                  <to>
                    <xdr:col>7</xdr:col>
                    <xdr:colOff>352425</xdr:colOff>
                    <xdr:row>34</xdr:row>
                    <xdr:rowOff>266700</xdr:rowOff>
                  </to>
                </anchor>
              </controlPr>
            </control>
          </mc:Choice>
        </mc:AlternateContent>
        <mc:AlternateContent xmlns:mc="http://schemas.openxmlformats.org/markup-compatibility/2006">
          <mc:Choice Requires="x14">
            <control shapeId="35911" r:id="rId37" name="Check Box 1095">
              <controlPr locked="0" defaultSize="0" autoFill="0" autoLine="0" autoPict="0">
                <anchor moveWithCells="1">
                  <from>
                    <xdr:col>7</xdr:col>
                    <xdr:colOff>104775</xdr:colOff>
                    <xdr:row>35</xdr:row>
                    <xdr:rowOff>66675</xdr:rowOff>
                  </from>
                  <to>
                    <xdr:col>7</xdr:col>
                    <xdr:colOff>352425</xdr:colOff>
                    <xdr:row>35</xdr:row>
                    <xdr:rowOff>266700</xdr:rowOff>
                  </to>
                </anchor>
              </controlPr>
            </control>
          </mc:Choice>
        </mc:AlternateContent>
        <mc:AlternateContent xmlns:mc="http://schemas.openxmlformats.org/markup-compatibility/2006">
          <mc:Choice Requires="x14">
            <control shapeId="35912" r:id="rId38" name="Check Box 1096">
              <controlPr locked="0" defaultSize="0" autoFill="0" autoLine="0" autoPict="0">
                <anchor moveWithCells="1">
                  <from>
                    <xdr:col>7</xdr:col>
                    <xdr:colOff>104775</xdr:colOff>
                    <xdr:row>36</xdr:row>
                    <xdr:rowOff>66675</xdr:rowOff>
                  </from>
                  <to>
                    <xdr:col>7</xdr:col>
                    <xdr:colOff>352425</xdr:colOff>
                    <xdr:row>36</xdr:row>
                    <xdr:rowOff>266700</xdr:rowOff>
                  </to>
                </anchor>
              </controlPr>
            </control>
          </mc:Choice>
        </mc:AlternateContent>
        <mc:AlternateContent xmlns:mc="http://schemas.openxmlformats.org/markup-compatibility/2006">
          <mc:Choice Requires="x14">
            <control shapeId="35913" r:id="rId39" name="Check Box 1097">
              <controlPr locked="0" defaultSize="0" autoFill="0" autoLine="0" autoPict="0">
                <anchor moveWithCells="1">
                  <from>
                    <xdr:col>7</xdr:col>
                    <xdr:colOff>104775</xdr:colOff>
                    <xdr:row>37</xdr:row>
                    <xdr:rowOff>66675</xdr:rowOff>
                  </from>
                  <to>
                    <xdr:col>7</xdr:col>
                    <xdr:colOff>352425</xdr:colOff>
                    <xdr:row>37</xdr:row>
                    <xdr:rowOff>266700</xdr:rowOff>
                  </to>
                </anchor>
              </controlPr>
            </control>
          </mc:Choice>
        </mc:AlternateContent>
        <mc:AlternateContent xmlns:mc="http://schemas.openxmlformats.org/markup-compatibility/2006">
          <mc:Choice Requires="x14">
            <control shapeId="35914" r:id="rId40" name="Check Box 1098">
              <controlPr locked="0" defaultSize="0" autoFill="0" autoLine="0" autoPict="0">
                <anchor moveWithCells="1">
                  <from>
                    <xdr:col>7</xdr:col>
                    <xdr:colOff>104775</xdr:colOff>
                    <xdr:row>38</xdr:row>
                    <xdr:rowOff>66675</xdr:rowOff>
                  </from>
                  <to>
                    <xdr:col>7</xdr:col>
                    <xdr:colOff>352425</xdr:colOff>
                    <xdr:row>38</xdr:row>
                    <xdr:rowOff>266700</xdr:rowOff>
                  </to>
                </anchor>
              </controlPr>
            </control>
          </mc:Choice>
        </mc:AlternateContent>
        <mc:AlternateContent xmlns:mc="http://schemas.openxmlformats.org/markup-compatibility/2006">
          <mc:Choice Requires="x14">
            <control shapeId="35919" r:id="rId41" name="Check Box 1103">
              <controlPr locked="0" defaultSize="0" autoFill="0" autoLine="0" autoPict="0">
                <anchor moveWithCells="1">
                  <from>
                    <xdr:col>7</xdr:col>
                    <xdr:colOff>104775</xdr:colOff>
                    <xdr:row>19</xdr:row>
                    <xdr:rowOff>66675</xdr:rowOff>
                  </from>
                  <to>
                    <xdr:col>7</xdr:col>
                    <xdr:colOff>352425</xdr:colOff>
                    <xdr:row>19</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BY26"/>
  <sheetViews>
    <sheetView showGridLines="0" showRowColHeaders="0" zoomScaleNormal="100" zoomScaleSheetLayoutView="100" workbookViewId="0">
      <selection activeCell="F5" sqref="F5"/>
    </sheetView>
  </sheetViews>
  <sheetFormatPr defaultColWidth="5.125" defaultRowHeight="13.5" x14ac:dyDescent="0.15"/>
  <cols>
    <col min="1" max="1" width="2.625" style="183" customWidth="1"/>
    <col min="2" max="3" width="7.625" style="183" customWidth="1"/>
    <col min="4" max="4" width="10.25" style="183" customWidth="1"/>
    <col min="5" max="5" width="7.625" style="183" customWidth="1"/>
    <col min="6" max="7" width="25.625" style="183" customWidth="1"/>
    <col min="8" max="9" width="7.625" style="183" customWidth="1"/>
    <col min="10" max="27" width="5.625" style="183" hidden="1" customWidth="1"/>
    <col min="28" max="28" width="8" style="183" hidden="1" customWidth="1"/>
    <col min="29" max="29" width="5.5" style="183" hidden="1" customWidth="1"/>
    <col min="30" max="30" width="8" style="183" hidden="1" customWidth="1"/>
    <col min="31" max="31" width="7.5" style="183" hidden="1" customWidth="1"/>
    <col min="32" max="33" width="25.625" style="183" hidden="1" customWidth="1"/>
    <col min="34" max="35" width="9" style="183" hidden="1" customWidth="1"/>
    <col min="36" max="36" width="9.25" style="183" hidden="1" customWidth="1"/>
    <col min="37" max="37" width="15.5" style="183" hidden="1" customWidth="1"/>
    <col min="38" max="38" width="5.125" style="183" hidden="1" customWidth="1"/>
    <col min="39" max="39" width="10" style="183" hidden="1" customWidth="1"/>
    <col min="40" max="77" width="5.125" style="183" hidden="1" customWidth="1"/>
    <col min="78" max="255" width="5.125" style="183" customWidth="1"/>
    <col min="256" max="16384" width="5.125" style="183"/>
  </cols>
  <sheetData>
    <row r="1" spans="2:55" ht="30.75" customHeight="1" x14ac:dyDescent="0.15">
      <c r="B1" s="1014" t="str">
        <f>①大会参加申込書!B1</f>
        <v>第２５回ジャパンデフバレーボールカップ　川崎大会</v>
      </c>
      <c r="C1" s="1014"/>
      <c r="D1" s="1014"/>
      <c r="E1" s="1014"/>
      <c r="F1" s="1014"/>
      <c r="G1" s="1014"/>
      <c r="H1" s="1014"/>
      <c r="I1" s="1014"/>
      <c r="AB1" s="1009" t="str">
        <f>①大会参加申込書!B1</f>
        <v>第２５回ジャパンデフバレーボールカップ　川崎大会</v>
      </c>
      <c r="AC1" s="1009"/>
      <c r="AD1" s="1009"/>
      <c r="AE1" s="1009"/>
      <c r="AF1" s="1009"/>
      <c r="AG1" s="1009"/>
      <c r="AH1" s="1009"/>
      <c r="AI1" s="1009"/>
      <c r="AJ1" s="184"/>
      <c r="AK1" s="184"/>
      <c r="AL1" s="184"/>
      <c r="AM1" s="184"/>
      <c r="AN1" s="184"/>
    </row>
    <row r="2" spans="2:55" ht="30" customHeight="1" x14ac:dyDescent="0.15">
      <c r="B2" s="1015" t="s">
        <v>416</v>
      </c>
      <c r="C2" s="1015"/>
      <c r="D2" s="1015"/>
      <c r="E2" s="1015"/>
      <c r="F2" s="1015"/>
      <c r="G2" s="1015"/>
      <c r="H2" s="1015"/>
      <c r="I2" s="1015"/>
      <c r="AB2" s="1010" t="s">
        <v>141</v>
      </c>
      <c r="AC2" s="1010"/>
      <c r="AD2" s="1010"/>
      <c r="AE2" s="1010"/>
      <c r="AF2" s="1010"/>
      <c r="AG2" s="1010"/>
      <c r="AH2" s="1010"/>
      <c r="AI2" s="1010"/>
      <c r="AJ2" s="185"/>
      <c r="AK2" s="185"/>
      <c r="AL2" s="185"/>
      <c r="AM2" s="185"/>
      <c r="AN2" s="185"/>
    </row>
    <row r="3" spans="2:55" ht="52.5" customHeight="1" x14ac:dyDescent="0.15">
      <c r="B3" s="1016" t="s">
        <v>235</v>
      </c>
      <c r="C3" s="1016"/>
      <c r="D3" s="1018" t="str">
        <f>AD3</f>
        <v/>
      </c>
      <c r="E3" s="1018"/>
      <c r="F3" s="1018"/>
      <c r="G3" s="1018"/>
      <c r="H3" s="186"/>
      <c r="I3" s="186"/>
      <c r="AB3" s="1007" t="s">
        <v>235</v>
      </c>
      <c r="AC3" s="1007"/>
      <c r="AD3" s="1008" t="str">
        <f>IF(ISBLANK(①大会参加申込書!D6),"",①大会参加申込書!D6)</f>
        <v/>
      </c>
      <c r="AE3" s="1008"/>
      <c r="AF3" s="1008"/>
      <c r="AG3" s="1008"/>
      <c r="AH3" s="1008"/>
      <c r="AI3" s="1008"/>
    </row>
    <row r="4" spans="2:55" ht="27.95" customHeight="1" x14ac:dyDescent="0.15">
      <c r="B4" s="187"/>
      <c r="C4" s="187"/>
      <c r="D4" s="187"/>
      <c r="E4" s="187"/>
      <c r="F4" s="188" t="s">
        <v>413</v>
      </c>
      <c r="G4" s="187"/>
      <c r="H4" s="187"/>
      <c r="I4" s="187"/>
      <c r="N4" s="183" t="s">
        <v>631</v>
      </c>
      <c r="AB4" s="187"/>
      <c r="AC4" s="187"/>
      <c r="AD4" s="187"/>
      <c r="AE4" s="187"/>
      <c r="AF4" s="189" t="s">
        <v>79</v>
      </c>
      <c r="AG4" s="190"/>
      <c r="AH4" s="190"/>
      <c r="AI4" s="187"/>
      <c r="AM4" s="183" t="s">
        <v>622</v>
      </c>
    </row>
    <row r="5" spans="2:55" ht="27.95" customHeight="1" x14ac:dyDescent="0.15">
      <c r="B5" s="1017" t="s">
        <v>412</v>
      </c>
      <c r="C5" s="1017"/>
      <c r="D5" s="1017"/>
      <c r="E5" s="1017"/>
      <c r="F5" s="167" t="str">
        <f>AF5</f>
        <v/>
      </c>
      <c r="G5" s="187"/>
      <c r="H5" s="187"/>
      <c r="I5" s="187"/>
      <c r="N5" s="183" t="s">
        <v>625</v>
      </c>
      <c r="AB5" s="187"/>
      <c r="AC5" s="1006" t="s">
        <v>35</v>
      </c>
      <c r="AD5" s="1006"/>
      <c r="AE5" s="1006"/>
      <c r="AF5" s="188" t="str">
        <f>IF(②選手登録名簿!AW22="","",②選手登録名簿!AW22)</f>
        <v/>
      </c>
      <c r="AG5" s="191"/>
      <c r="AH5" s="192"/>
    </row>
    <row r="6" spans="2:55" ht="27.95" customHeight="1" x14ac:dyDescent="0.15">
      <c r="B6" s="1017" t="s">
        <v>411</v>
      </c>
      <c r="C6" s="1017"/>
      <c r="D6" s="1017"/>
      <c r="E6" s="1017"/>
      <c r="F6" s="167" t="str">
        <f>AF6</f>
        <v/>
      </c>
      <c r="G6" s="187"/>
      <c r="H6" s="187"/>
      <c r="I6" s="187"/>
      <c r="N6" s="183" t="s">
        <v>626</v>
      </c>
      <c r="AB6" s="187"/>
      <c r="AC6" s="1006" t="s">
        <v>40</v>
      </c>
      <c r="AD6" s="1006"/>
      <c r="AE6" s="1006"/>
      <c r="AF6" s="188" t="str">
        <f>IF(②選手登録名簿!AW23="","",②選手登録名簿!AW23)</f>
        <v/>
      </c>
      <c r="AG6" s="191"/>
      <c r="AH6" s="192"/>
    </row>
    <row r="7" spans="2:55" ht="27.95" customHeight="1" x14ac:dyDescent="0.15">
      <c r="B7" s="1017" t="s">
        <v>409</v>
      </c>
      <c r="C7" s="1017"/>
      <c r="D7" s="1017"/>
      <c r="E7" s="1017"/>
      <c r="F7" s="167" t="str">
        <f>AF7</f>
        <v/>
      </c>
      <c r="G7" s="187"/>
      <c r="H7" s="187"/>
      <c r="I7" s="187"/>
      <c r="N7" s="183" t="s">
        <v>627</v>
      </c>
      <c r="AB7" s="187"/>
      <c r="AC7" s="1006" t="s">
        <v>18</v>
      </c>
      <c r="AD7" s="1006"/>
      <c r="AE7" s="1006"/>
      <c r="AF7" s="188" t="str">
        <f>IF(②選手登録名簿!AW24="","",②選手登録名簿!AW24)</f>
        <v/>
      </c>
      <c r="AG7" s="191"/>
      <c r="AH7" s="192"/>
    </row>
    <row r="8" spans="2:55" ht="27.95" customHeight="1" x14ac:dyDescent="0.15">
      <c r="B8" s="1017" t="s">
        <v>409</v>
      </c>
      <c r="C8" s="1017"/>
      <c r="D8" s="1017"/>
      <c r="E8" s="1017"/>
      <c r="F8" s="168" t="str">
        <f>AF8</f>
        <v/>
      </c>
      <c r="G8" s="187"/>
      <c r="H8" s="187"/>
      <c r="I8" s="187"/>
      <c r="N8" s="183" t="s">
        <v>628</v>
      </c>
      <c r="AB8" s="187"/>
      <c r="AC8" s="1006" t="s">
        <v>18</v>
      </c>
      <c r="AD8" s="1006"/>
      <c r="AE8" s="1006"/>
      <c r="AF8" s="188" t="str">
        <f>IF(②選手登録名簿!AW25="","",②選手登録名簿!AW25)</f>
        <v/>
      </c>
      <c r="AG8" s="193"/>
      <c r="AH8" s="194"/>
    </row>
    <row r="9" spans="2:55" ht="28.5" customHeight="1" x14ac:dyDescent="0.15">
      <c r="B9" s="1011" t="s">
        <v>414</v>
      </c>
      <c r="C9" s="195" t="s">
        <v>424</v>
      </c>
      <c r="D9" s="195" t="s">
        <v>425</v>
      </c>
      <c r="E9" s="195" t="s">
        <v>426</v>
      </c>
      <c r="F9" s="188" t="s">
        <v>413</v>
      </c>
      <c r="G9" s="188" t="s">
        <v>410</v>
      </c>
      <c r="H9" s="188" t="s">
        <v>136</v>
      </c>
      <c r="I9" s="196" t="s">
        <v>415</v>
      </c>
      <c r="AB9" s="187" t="s">
        <v>97</v>
      </c>
      <c r="AC9" s="197" t="s">
        <v>5</v>
      </c>
      <c r="AD9" s="198" t="s">
        <v>120</v>
      </c>
      <c r="AE9" s="199" t="s">
        <v>119</v>
      </c>
      <c r="AF9" s="189" t="s">
        <v>79</v>
      </c>
      <c r="AG9" s="189" t="s">
        <v>330</v>
      </c>
      <c r="AH9" s="189" t="s">
        <v>6</v>
      </c>
      <c r="AI9" s="189" t="s">
        <v>137</v>
      </c>
      <c r="AJ9" s="200" t="s">
        <v>120</v>
      </c>
      <c r="AK9" s="201" t="s">
        <v>423</v>
      </c>
      <c r="BA9" s="202" t="s">
        <v>138</v>
      </c>
      <c r="BB9" s="202"/>
      <c r="BC9" s="202"/>
    </row>
    <row r="10" spans="2:55" ht="27.95" customHeight="1" x14ac:dyDescent="0.15">
      <c r="B10" s="1012"/>
      <c r="C10" s="391" t="str">
        <f>IF(E10="","",INDEX(背番号変更名簿!$F$9:$P$22,MATCH(③出場者一覧!E10,背番号変更名簿!$N$9:$N$22,0),10))</f>
        <v/>
      </c>
      <c r="D10" s="392" t="str">
        <f>IF(E10="","",INDEX(背番号変更名簿!$F$9:$P$22,MATCH(③出場者一覧!E10,背番号変更名簿!$N$9:$N$22,0),11))</f>
        <v/>
      </c>
      <c r="E10" s="393" t="str">
        <f>IF(ISERR(SMALL(背番号変更名簿!$N$9:$N$22,1)),"",SMALL(背番号変更名簿!$N$9:$N$22,1))</f>
        <v/>
      </c>
      <c r="F10" s="169" t="str">
        <f>IF(E10="","",INDEX(背番号変更名簿!$F$9:$P$22,MATCH(③出場者一覧!E10,背番号変更名簿!$N$9:$N$22,0),1))</f>
        <v/>
      </c>
      <c r="G10" s="169" t="str">
        <f>IF(E10="","",INDEX(背番号変更名簿!$F$9:$P$22,MATCH(③出場者一覧!E10,背番号変更名簿!$N$9:$N$22,0),7))</f>
        <v/>
      </c>
      <c r="H10" s="394" t="str">
        <f>IF(E10="","",INDEX(背番号変更名簿!$F$9:$P$22,MATCH(③出場者一覧!E10,背番号変更名簿!$N$9:$N$22,0),4))</f>
        <v/>
      </c>
      <c r="I10" s="394" t="str">
        <f>IF(E10="","",INDEX(背番号変更名簿!$F$9:$P$22,MATCH(③出場者一覧!E10,背番号変更名簿!$N$9:$N$22,0),5))</f>
        <v/>
      </c>
      <c r="AB10" s="203" t="str">
        <f>IF(AE10="","",AE10*1)</f>
        <v/>
      </c>
      <c r="AC10" s="204"/>
      <c r="AD10" s="205" t="str">
        <f>IF(AE10="","",IF(AE10=②選手登録名簿!$AA$25,"主将",""))</f>
        <v/>
      </c>
      <c r="AE10" s="206" t="str">
        <f>②選手登録名簿!AX26</f>
        <v/>
      </c>
      <c r="AF10" s="169" t="str">
        <f>②選手登録名簿!AW26</f>
        <v/>
      </c>
      <c r="AG10" s="169" t="str">
        <f>②選手登録名簿!AZ26</f>
        <v/>
      </c>
      <c r="AH10" s="207" t="str">
        <f>IF(②選手登録名簿!BA26=0,"",②選手登録名簿!BA26)</f>
        <v/>
      </c>
      <c r="AI10" s="208" t="str">
        <f>IF(②選手登録名簿!BB26=0,"",②選手登録名簿!BB26)</f>
        <v/>
      </c>
      <c r="AJ10" s="209" t="str">
        <f>AD10</f>
        <v/>
      </c>
      <c r="AK10" s="183" t="str">
        <f>IF(AE10="","",IF(VLOOKUP(AE10,②選手登録名簿!$AO$22:$BJ$39,22,0),"リベロ",""))</f>
        <v/>
      </c>
      <c r="BA10" s="202">
        <f>IF(AE10&lt;&gt;"",COUNTIF($AE$10:$AE$23,AE10),0)</f>
        <v>0</v>
      </c>
      <c r="BB10" s="202">
        <f>IF(AF10&lt;&gt;"",COUNTIF($AF$10:$AF$23,AF10),0)</f>
        <v>0</v>
      </c>
      <c r="BC10" s="202"/>
    </row>
    <row r="11" spans="2:55" ht="27.95" customHeight="1" x14ac:dyDescent="0.15">
      <c r="B11" s="1012"/>
      <c r="C11" s="395" t="str">
        <f>IF(E11="","",INDEX(背番号変更名簿!$F$9:$P$22,MATCH(③出場者一覧!E11,背番号変更名簿!$N$9:$N$22,0),10))</f>
        <v/>
      </c>
      <c r="D11" s="396" t="str">
        <f>IF(E11="","",INDEX(背番号変更名簿!$F$9:$P$22,MATCH(③出場者一覧!E11,背番号変更名簿!$N$9:$N$22,0),11))</f>
        <v/>
      </c>
      <c r="E11" s="397" t="str">
        <f>IF(ISERR(SMALL(背番号変更名簿!$N$9:$N$22,2)),"",SMALL(背番号変更名簿!$N$9:$N$22,2))</f>
        <v/>
      </c>
      <c r="F11" s="170" t="str">
        <f>IF(E11="","",INDEX(背番号変更名簿!$F$9:$P$22,MATCH(③出場者一覧!E11,背番号変更名簿!$N$9:$N$22,0),1))</f>
        <v/>
      </c>
      <c r="G11" s="170" t="str">
        <f>IF(E11="","",INDEX(背番号変更名簿!$F$9:$P$22,MATCH(③出場者一覧!E11,背番号変更名簿!$N$9:$N$22,0),7))</f>
        <v/>
      </c>
      <c r="H11" s="398" t="str">
        <f>IF(E11="","",INDEX(背番号変更名簿!$F$9:$P$22,MATCH(③出場者一覧!E11,背番号変更名簿!$N$9:$N$22,0),4))</f>
        <v/>
      </c>
      <c r="I11" s="398" t="str">
        <f>IF(E11="","",INDEX(背番号変更名簿!$F$9:$P$22,MATCH(③出場者一覧!E11,背番号変更名簿!$N$9:$N$22,0),5))</f>
        <v/>
      </c>
      <c r="AB11" s="203" t="str">
        <f t="shared" ref="AB11:AB23" si="0">IF(AE11="","",AE11*1)</f>
        <v/>
      </c>
      <c r="AC11" s="204"/>
      <c r="AD11" s="210" t="str">
        <f>IF(AE11="","",IF(AE11=②選手登録名簿!$AA$25,"主将",""))</f>
        <v/>
      </c>
      <c r="AE11" s="211" t="str">
        <f>②選手登録名簿!AX27</f>
        <v/>
      </c>
      <c r="AF11" s="170" t="str">
        <f>②選手登録名簿!AW27</f>
        <v/>
      </c>
      <c r="AG11" s="170" t="str">
        <f>②選手登録名簿!AZ27</f>
        <v/>
      </c>
      <c r="AH11" s="212" t="str">
        <f>IF(②選手登録名簿!BA27=0,"",②選手登録名簿!BA27)</f>
        <v/>
      </c>
      <c r="AI11" s="213" t="str">
        <f>IF(②選手登録名簿!BB27=0,"",②選手登録名簿!BB27)</f>
        <v/>
      </c>
      <c r="AJ11" s="209" t="str">
        <f t="shared" ref="AJ11:AJ23" si="1">AD11</f>
        <v/>
      </c>
      <c r="AK11" s="183" t="str">
        <f>IF(AE11="","",IF(VLOOKUP(AE11,②選手登録名簿!$AO$22:$BJ$39,22,0),"リベロ",""))</f>
        <v/>
      </c>
      <c r="BA11" s="202">
        <f t="shared" ref="BA11:BA23" si="2">IF(AE11&lt;&gt;"",COUNTIF($AE$10:$AE$23,AE11),0)</f>
        <v>0</v>
      </c>
      <c r="BB11" s="202">
        <f t="shared" ref="BB11:BB22" si="3">IF(AF11&lt;&gt;"",COUNTIF($AF$10:$AF$23,AF11),0)</f>
        <v>0</v>
      </c>
      <c r="BC11" s="202"/>
    </row>
    <row r="12" spans="2:55" ht="27.95" customHeight="1" x14ac:dyDescent="0.15">
      <c r="B12" s="1012"/>
      <c r="C12" s="395" t="str">
        <f>IF(E12="","",INDEX(背番号変更名簿!$F$9:$P$22,MATCH(③出場者一覧!E12,背番号変更名簿!$N$9:$N$22,0),10))</f>
        <v/>
      </c>
      <c r="D12" s="396" t="str">
        <f>IF(E12="","",INDEX(背番号変更名簿!$F$9:$P$22,MATCH(③出場者一覧!E12,背番号変更名簿!$N$9:$N$22,0),11))</f>
        <v/>
      </c>
      <c r="E12" s="397" t="str">
        <f>IF(ISERR(SMALL(背番号変更名簿!$N$9:$N$22,3)),"",SMALL(背番号変更名簿!$N$9:$N$22,3))</f>
        <v/>
      </c>
      <c r="F12" s="170" t="str">
        <f>IF(E12="","",INDEX(背番号変更名簿!$F$9:$P$22,MATCH(③出場者一覧!E12,背番号変更名簿!$N$9:$N$22,0),1))</f>
        <v/>
      </c>
      <c r="G12" s="170" t="str">
        <f>IF(E12="","",INDEX(背番号変更名簿!$F$9:$P$22,MATCH(③出場者一覧!E12,背番号変更名簿!$N$9:$N$22,0),7))</f>
        <v/>
      </c>
      <c r="H12" s="398" t="str">
        <f>IF(E12="","",INDEX(背番号変更名簿!$F$9:$P$22,MATCH(③出場者一覧!E12,背番号変更名簿!$N$9:$N$22,0),4))</f>
        <v/>
      </c>
      <c r="I12" s="398" t="str">
        <f>IF(E12="","",INDEX(背番号変更名簿!$F$9:$P$22,MATCH(③出場者一覧!E12,背番号変更名簿!$N$9:$N$22,0),5))</f>
        <v/>
      </c>
      <c r="AB12" s="203" t="str">
        <f t="shared" si="0"/>
        <v/>
      </c>
      <c r="AC12" s="204"/>
      <c r="AD12" s="210" t="str">
        <f>IF(AE12="","",IF(AE12=②選手登録名簿!$AA$25,"主将",""))</f>
        <v/>
      </c>
      <c r="AE12" s="211" t="str">
        <f>②選手登録名簿!AX28</f>
        <v/>
      </c>
      <c r="AF12" s="170" t="str">
        <f>②選手登録名簿!AW28</f>
        <v/>
      </c>
      <c r="AG12" s="170" t="str">
        <f>②選手登録名簿!AZ28</f>
        <v/>
      </c>
      <c r="AH12" s="212" t="str">
        <f>IF(②選手登録名簿!BA28=0,"",②選手登録名簿!BA28)</f>
        <v/>
      </c>
      <c r="AI12" s="213" t="str">
        <f>IF(②選手登録名簿!BB28=0,"",②選手登録名簿!BB28)</f>
        <v/>
      </c>
      <c r="AJ12" s="209" t="str">
        <f t="shared" si="1"/>
        <v/>
      </c>
      <c r="AK12" s="183" t="str">
        <f>IF(AE12="","",IF(VLOOKUP(AE12,②選手登録名簿!$AO$22:$BJ$39,22,0),"リベロ",""))</f>
        <v/>
      </c>
      <c r="BA12" s="202">
        <f t="shared" si="2"/>
        <v>0</v>
      </c>
      <c r="BB12" s="202">
        <f t="shared" si="3"/>
        <v>0</v>
      </c>
      <c r="BC12" s="202"/>
    </row>
    <row r="13" spans="2:55" ht="27.95" customHeight="1" x14ac:dyDescent="0.15">
      <c r="B13" s="1012"/>
      <c r="C13" s="395" t="str">
        <f>IF(E13="","",INDEX(背番号変更名簿!$F$9:$P$22,MATCH(③出場者一覧!E13,背番号変更名簿!$N$9:$N$22,0),10))</f>
        <v/>
      </c>
      <c r="D13" s="396" t="str">
        <f>IF(E13="","",INDEX(背番号変更名簿!$F$9:$P$22,MATCH(③出場者一覧!E13,背番号変更名簿!$N$9:$N$22,0),11))</f>
        <v/>
      </c>
      <c r="E13" s="397" t="str">
        <f>IF(ISERR(SMALL(背番号変更名簿!$N$9:$N$22,4)),"",SMALL(背番号変更名簿!$N$9:$N$22,4))</f>
        <v/>
      </c>
      <c r="F13" s="170" t="str">
        <f>IF(E13="","",INDEX(背番号変更名簿!$F$9:$P$22,MATCH(③出場者一覧!E13,背番号変更名簿!$N$9:$N$22,0),1))</f>
        <v/>
      </c>
      <c r="G13" s="170" t="str">
        <f>IF(E13="","",INDEX(背番号変更名簿!$F$9:$P$22,MATCH(③出場者一覧!E13,背番号変更名簿!$N$9:$N$22,0),7))</f>
        <v/>
      </c>
      <c r="H13" s="398" t="str">
        <f>IF(E13="","",INDEX(背番号変更名簿!$F$9:$P$22,MATCH(③出場者一覧!E13,背番号変更名簿!$N$9:$N$22,0),4))</f>
        <v/>
      </c>
      <c r="I13" s="398" t="str">
        <f>IF(E13="","",INDEX(背番号変更名簿!$F$9:$P$22,MATCH(③出場者一覧!E13,背番号変更名簿!$N$9:$N$22,0),5))</f>
        <v/>
      </c>
      <c r="AB13" s="203" t="str">
        <f t="shared" si="0"/>
        <v/>
      </c>
      <c r="AC13" s="204"/>
      <c r="AD13" s="210" t="str">
        <f>IF(AE13="","",IF(AE13=②選手登録名簿!$AA$25,"主将",""))</f>
        <v/>
      </c>
      <c r="AE13" s="211" t="str">
        <f>②選手登録名簿!AX29</f>
        <v/>
      </c>
      <c r="AF13" s="170" t="str">
        <f>②選手登録名簿!AW29</f>
        <v/>
      </c>
      <c r="AG13" s="170" t="str">
        <f>②選手登録名簿!AZ29</f>
        <v/>
      </c>
      <c r="AH13" s="212" t="str">
        <f>IF(②選手登録名簿!BA29=0,"",②選手登録名簿!BA29)</f>
        <v/>
      </c>
      <c r="AI13" s="213" t="str">
        <f>IF(②選手登録名簿!BB29=0,"",②選手登録名簿!BB29)</f>
        <v/>
      </c>
      <c r="AJ13" s="209" t="str">
        <f t="shared" si="1"/>
        <v/>
      </c>
      <c r="AK13" s="183" t="str">
        <f>IF(AE13="","",IF(VLOOKUP(AE13,②選手登録名簿!$AO$22:$BJ$39,22,0),"リベロ",""))</f>
        <v/>
      </c>
      <c r="BA13" s="202">
        <f t="shared" si="2"/>
        <v>0</v>
      </c>
      <c r="BB13" s="202">
        <f t="shared" si="3"/>
        <v>0</v>
      </c>
      <c r="BC13" s="202"/>
    </row>
    <row r="14" spans="2:55" ht="27.95" customHeight="1" x14ac:dyDescent="0.15">
      <c r="B14" s="1012"/>
      <c r="C14" s="395" t="str">
        <f>IF(E14="","",INDEX(背番号変更名簿!$F$9:$P$22,MATCH(③出場者一覧!E14,背番号変更名簿!$N$9:$N$22,0),10))</f>
        <v/>
      </c>
      <c r="D14" s="396" t="str">
        <f>IF(E14="","",INDEX(背番号変更名簿!$F$9:$P$22,MATCH(③出場者一覧!E14,背番号変更名簿!$N$9:$N$22,0),11))</f>
        <v/>
      </c>
      <c r="E14" s="397" t="str">
        <f>IF(ISERR(SMALL(背番号変更名簿!$N$9:$N$22,5)),"",SMALL(背番号変更名簿!$N$9:$N$22,5))</f>
        <v/>
      </c>
      <c r="F14" s="170" t="str">
        <f>IF(E14="","",INDEX(背番号変更名簿!$F$9:$P$22,MATCH(③出場者一覧!E14,背番号変更名簿!$N$9:$N$22,0),1))</f>
        <v/>
      </c>
      <c r="G14" s="170" t="str">
        <f>IF(E14="","",INDEX(背番号変更名簿!$F$9:$P$22,MATCH(③出場者一覧!E14,背番号変更名簿!$N$9:$N$22,0),7))</f>
        <v/>
      </c>
      <c r="H14" s="398" t="str">
        <f>IF(E14="","",INDEX(背番号変更名簿!$F$9:$P$22,MATCH(③出場者一覧!E14,背番号変更名簿!$N$9:$N$22,0),4))</f>
        <v/>
      </c>
      <c r="I14" s="398" t="str">
        <f>IF(E14="","",INDEX(背番号変更名簿!$F$9:$P$22,MATCH(③出場者一覧!E14,背番号変更名簿!$N$9:$N$22,0),5))</f>
        <v/>
      </c>
      <c r="AB14" s="203" t="str">
        <f t="shared" si="0"/>
        <v/>
      </c>
      <c r="AC14" s="204"/>
      <c r="AD14" s="210" t="str">
        <f>IF(AE14="","",IF(AE14=②選手登録名簿!$AA$25,"主将",""))</f>
        <v/>
      </c>
      <c r="AE14" s="211" t="str">
        <f>②選手登録名簿!AX30</f>
        <v/>
      </c>
      <c r="AF14" s="170" t="str">
        <f>②選手登録名簿!AW30</f>
        <v/>
      </c>
      <c r="AG14" s="170" t="str">
        <f>②選手登録名簿!AZ30</f>
        <v/>
      </c>
      <c r="AH14" s="212" t="str">
        <f>IF(②選手登録名簿!BA30=0,"",②選手登録名簿!BA30)</f>
        <v/>
      </c>
      <c r="AI14" s="213" t="str">
        <f>IF(②選手登録名簿!BB30=0,"",②選手登録名簿!BB30)</f>
        <v/>
      </c>
      <c r="AJ14" s="209" t="str">
        <f t="shared" si="1"/>
        <v/>
      </c>
      <c r="AK14" s="183" t="str">
        <f>IF(AE14="","",IF(VLOOKUP(AE14,②選手登録名簿!$AO$22:$BJ$39,22,0),"リベロ",""))</f>
        <v/>
      </c>
      <c r="BA14" s="202">
        <f t="shared" si="2"/>
        <v>0</v>
      </c>
      <c r="BB14" s="202">
        <f t="shared" si="3"/>
        <v>0</v>
      </c>
      <c r="BC14" s="202"/>
    </row>
    <row r="15" spans="2:55" ht="27.95" customHeight="1" x14ac:dyDescent="0.15">
      <c r="B15" s="1012"/>
      <c r="C15" s="395" t="str">
        <f>IF(E15="","",INDEX(背番号変更名簿!$F$9:$P$22,MATCH(③出場者一覧!E15,背番号変更名簿!$N$9:$N$22,0),10))</f>
        <v/>
      </c>
      <c r="D15" s="396" t="str">
        <f>IF(E15="","",INDEX(背番号変更名簿!$F$9:$P$22,MATCH(③出場者一覧!E15,背番号変更名簿!$N$9:$N$22,0),11))</f>
        <v/>
      </c>
      <c r="E15" s="397" t="str">
        <f>IF(ISERR(SMALL(背番号変更名簿!$N$9:$N$22,6)),"",SMALL(背番号変更名簿!$N$9:$N$22,6))</f>
        <v/>
      </c>
      <c r="F15" s="170" t="str">
        <f>IF(E15="","",INDEX(背番号変更名簿!$F$9:$P$22,MATCH(③出場者一覧!E15,背番号変更名簿!$N$9:$N$22,0),1))</f>
        <v/>
      </c>
      <c r="G15" s="170" t="str">
        <f>IF(E15="","",INDEX(背番号変更名簿!$F$9:$P$22,MATCH(③出場者一覧!E15,背番号変更名簿!$N$9:$N$22,0),7))</f>
        <v/>
      </c>
      <c r="H15" s="398" t="str">
        <f>IF(E15="","",INDEX(背番号変更名簿!$F$9:$P$22,MATCH(③出場者一覧!E15,背番号変更名簿!$N$9:$N$22,0),4))</f>
        <v/>
      </c>
      <c r="I15" s="398" t="str">
        <f>IF(E15="","",INDEX(背番号変更名簿!$F$9:$P$22,MATCH(③出場者一覧!E15,背番号変更名簿!$N$9:$N$22,0),5))</f>
        <v/>
      </c>
      <c r="AB15" s="203" t="str">
        <f t="shared" si="0"/>
        <v/>
      </c>
      <c r="AC15" s="204"/>
      <c r="AD15" s="210" t="str">
        <f>IF(AE15="","",IF(AE15=②選手登録名簿!$AA$25,"主将",""))</f>
        <v/>
      </c>
      <c r="AE15" s="211" t="str">
        <f>②選手登録名簿!AX31</f>
        <v/>
      </c>
      <c r="AF15" s="170" t="str">
        <f>②選手登録名簿!AW31</f>
        <v/>
      </c>
      <c r="AG15" s="170" t="str">
        <f>②選手登録名簿!AZ31</f>
        <v/>
      </c>
      <c r="AH15" s="212" t="str">
        <f>IF(②選手登録名簿!BA31=0,"",②選手登録名簿!BA31)</f>
        <v/>
      </c>
      <c r="AI15" s="213" t="str">
        <f>IF(②選手登録名簿!BB31=0,"",②選手登録名簿!BB31)</f>
        <v/>
      </c>
      <c r="AJ15" s="209" t="str">
        <f t="shared" si="1"/>
        <v/>
      </c>
      <c r="AK15" s="183" t="str">
        <f>IF(AE15="","",IF(VLOOKUP(AE15,②選手登録名簿!$AO$22:$BJ$39,22,0),"リベロ",""))</f>
        <v/>
      </c>
      <c r="BA15" s="202">
        <f t="shared" si="2"/>
        <v>0</v>
      </c>
      <c r="BB15" s="202">
        <f t="shared" si="3"/>
        <v>0</v>
      </c>
      <c r="BC15" s="202"/>
    </row>
    <row r="16" spans="2:55" ht="27.95" customHeight="1" x14ac:dyDescent="0.15">
      <c r="B16" s="1012"/>
      <c r="C16" s="395" t="str">
        <f>IF(E16="","",INDEX(背番号変更名簿!$F$9:$P$22,MATCH(③出場者一覧!E16,背番号変更名簿!$N$9:$N$22,0),10))</f>
        <v/>
      </c>
      <c r="D16" s="396" t="str">
        <f>IF(E16="","",INDEX(背番号変更名簿!$F$9:$P$22,MATCH(③出場者一覧!E16,背番号変更名簿!$N$9:$N$22,0),11))</f>
        <v/>
      </c>
      <c r="E16" s="397" t="str">
        <f>IF(ISERR(SMALL(背番号変更名簿!$N$9:$N$22,7)),"",SMALL(背番号変更名簿!$N$9:$N$22,7))</f>
        <v/>
      </c>
      <c r="F16" s="170" t="str">
        <f>IF(E16="","",INDEX(背番号変更名簿!$F$9:$P$22,MATCH(③出場者一覧!E16,背番号変更名簿!$N$9:$N$22,0),1))</f>
        <v/>
      </c>
      <c r="G16" s="170" t="str">
        <f>IF(E16="","",INDEX(背番号変更名簿!$F$9:$P$22,MATCH(③出場者一覧!E16,背番号変更名簿!$N$9:$N$22,0),7))</f>
        <v/>
      </c>
      <c r="H16" s="398" t="str">
        <f>IF(E16="","",INDEX(背番号変更名簿!$F$9:$P$22,MATCH(③出場者一覧!E16,背番号変更名簿!$N$9:$N$22,0),4))</f>
        <v/>
      </c>
      <c r="I16" s="398" t="str">
        <f>IF(E16="","",INDEX(背番号変更名簿!$F$9:$P$22,MATCH(③出場者一覧!E16,背番号変更名簿!$N$9:$N$22,0),5))</f>
        <v/>
      </c>
      <c r="AB16" s="203" t="str">
        <f t="shared" si="0"/>
        <v/>
      </c>
      <c r="AC16" s="204"/>
      <c r="AD16" s="210" t="str">
        <f>IF(AE16="","",IF(AE16=②選手登録名簿!$AA$25,"主将",""))</f>
        <v/>
      </c>
      <c r="AE16" s="211" t="str">
        <f>②選手登録名簿!AX32</f>
        <v/>
      </c>
      <c r="AF16" s="170" t="str">
        <f>②選手登録名簿!AW32</f>
        <v/>
      </c>
      <c r="AG16" s="170" t="str">
        <f>②選手登録名簿!AZ32</f>
        <v/>
      </c>
      <c r="AH16" s="212" t="str">
        <f>IF(②選手登録名簿!BA32=0,"",②選手登録名簿!BA32)</f>
        <v/>
      </c>
      <c r="AI16" s="213" t="str">
        <f>IF(②選手登録名簿!BB32=0,"",②選手登録名簿!BB32)</f>
        <v/>
      </c>
      <c r="AJ16" s="209" t="str">
        <f t="shared" si="1"/>
        <v/>
      </c>
      <c r="AK16" s="183" t="str">
        <f>IF(AE16="","",IF(VLOOKUP(AE16,②選手登録名簿!$AO$22:$BJ$39,22,0),"リベロ",""))</f>
        <v/>
      </c>
      <c r="BA16" s="202">
        <f t="shared" si="2"/>
        <v>0</v>
      </c>
      <c r="BB16" s="202">
        <f t="shared" si="3"/>
        <v>0</v>
      </c>
      <c r="BC16" s="202"/>
    </row>
    <row r="17" spans="2:55" ht="27.95" customHeight="1" x14ac:dyDescent="0.15">
      <c r="B17" s="1012"/>
      <c r="C17" s="395" t="str">
        <f>IF(E17="","",INDEX(背番号変更名簿!$F$9:$P$22,MATCH(③出場者一覧!E17,背番号変更名簿!$N$9:$N$22,0),10))</f>
        <v/>
      </c>
      <c r="D17" s="396" t="str">
        <f>IF(E17="","",INDEX(背番号変更名簿!$F$9:$P$22,MATCH(③出場者一覧!E17,背番号変更名簿!$N$9:$N$22,0),11))</f>
        <v/>
      </c>
      <c r="E17" s="397" t="str">
        <f>IF(ISERR(SMALL(背番号変更名簿!$N$9:$N$22,8)),"",SMALL(背番号変更名簿!$N$9:$N$22,8))</f>
        <v/>
      </c>
      <c r="F17" s="170" t="str">
        <f>IF(E17="","",INDEX(背番号変更名簿!$F$9:$P$22,MATCH(③出場者一覧!E17,背番号変更名簿!$N$9:$N$22,0),1))</f>
        <v/>
      </c>
      <c r="G17" s="170" t="str">
        <f>IF(E17="","",INDEX(背番号変更名簿!$F$9:$P$22,MATCH(③出場者一覧!E17,背番号変更名簿!$N$9:$N$22,0),7))</f>
        <v/>
      </c>
      <c r="H17" s="398" t="str">
        <f>IF(E17="","",INDEX(背番号変更名簿!$F$9:$P$22,MATCH(③出場者一覧!E17,背番号変更名簿!$N$9:$N$22,0),4))</f>
        <v/>
      </c>
      <c r="I17" s="398" t="str">
        <f>IF(E17="","",INDEX(背番号変更名簿!$F$9:$P$22,MATCH(③出場者一覧!E17,背番号変更名簿!$N$9:$N$22,0),5))</f>
        <v/>
      </c>
      <c r="AB17" s="203" t="str">
        <f t="shared" si="0"/>
        <v/>
      </c>
      <c r="AC17" s="204"/>
      <c r="AD17" s="210" t="str">
        <f>IF(AE17="","",IF(AE17=②選手登録名簿!$AA$25,"主将",""))</f>
        <v/>
      </c>
      <c r="AE17" s="211" t="str">
        <f>②選手登録名簿!AX33</f>
        <v/>
      </c>
      <c r="AF17" s="170" t="str">
        <f>②選手登録名簿!AW33</f>
        <v/>
      </c>
      <c r="AG17" s="170" t="str">
        <f>②選手登録名簿!AZ33</f>
        <v/>
      </c>
      <c r="AH17" s="212" t="str">
        <f>IF(②選手登録名簿!BA33=0,"",②選手登録名簿!BA33)</f>
        <v/>
      </c>
      <c r="AI17" s="213" t="str">
        <f>IF(②選手登録名簿!BB33=0,"",②選手登録名簿!BB33)</f>
        <v/>
      </c>
      <c r="AJ17" s="209" t="str">
        <f t="shared" si="1"/>
        <v/>
      </c>
      <c r="AK17" s="183" t="str">
        <f>IF(AE17="","",IF(VLOOKUP(AE17,②選手登録名簿!$AO$22:$BJ$39,22,0),"リベロ",""))</f>
        <v/>
      </c>
      <c r="BA17" s="202">
        <f t="shared" si="2"/>
        <v>0</v>
      </c>
      <c r="BB17" s="202">
        <f t="shared" si="3"/>
        <v>0</v>
      </c>
      <c r="BC17" s="202"/>
    </row>
    <row r="18" spans="2:55" ht="27.95" customHeight="1" x14ac:dyDescent="0.15">
      <c r="B18" s="1012"/>
      <c r="C18" s="395" t="str">
        <f>IF(E18="","",INDEX(背番号変更名簿!$F$9:$P$22,MATCH(③出場者一覧!E18,背番号変更名簿!$N$9:$N$22,0),10))</f>
        <v/>
      </c>
      <c r="D18" s="396" t="str">
        <f>IF(E18="","",INDEX(背番号変更名簿!$F$9:$P$22,MATCH(③出場者一覧!E18,背番号変更名簿!$N$9:$N$22,0),11))</f>
        <v/>
      </c>
      <c r="E18" s="397" t="str">
        <f>IF(ISERR(SMALL(背番号変更名簿!$N$9:$N$22,9)),"",SMALL(背番号変更名簿!$N$9:$N$22,9))</f>
        <v/>
      </c>
      <c r="F18" s="170" t="str">
        <f>IF(E18="","",INDEX(背番号変更名簿!$F$9:$P$22,MATCH(③出場者一覧!E18,背番号変更名簿!$N$9:$N$22,0),1))</f>
        <v/>
      </c>
      <c r="G18" s="170" t="str">
        <f>IF(E18="","",INDEX(背番号変更名簿!$F$9:$P$22,MATCH(③出場者一覧!E18,背番号変更名簿!$N$9:$N$22,0),7))</f>
        <v/>
      </c>
      <c r="H18" s="398" t="str">
        <f>IF(E18="","",INDEX(背番号変更名簿!$F$9:$P$22,MATCH(③出場者一覧!E18,背番号変更名簿!$N$9:$N$22,0),4))</f>
        <v/>
      </c>
      <c r="I18" s="398" t="str">
        <f>IF(E18="","",INDEX(背番号変更名簿!$F$9:$P$22,MATCH(③出場者一覧!E18,背番号変更名簿!$N$9:$N$22,0),5))</f>
        <v/>
      </c>
      <c r="AB18" s="203" t="str">
        <f t="shared" si="0"/>
        <v/>
      </c>
      <c r="AC18" s="204"/>
      <c r="AD18" s="210" t="str">
        <f>IF(AE18="","",IF(AE18=②選手登録名簿!$AA$25,"主将",""))</f>
        <v/>
      </c>
      <c r="AE18" s="211" t="str">
        <f>②選手登録名簿!AX34</f>
        <v/>
      </c>
      <c r="AF18" s="170" t="str">
        <f>②選手登録名簿!AW34</f>
        <v/>
      </c>
      <c r="AG18" s="170" t="str">
        <f>②選手登録名簿!AZ34</f>
        <v/>
      </c>
      <c r="AH18" s="212" t="str">
        <f>IF(②選手登録名簿!BA34=0,"",②選手登録名簿!BA34)</f>
        <v/>
      </c>
      <c r="AI18" s="213" t="str">
        <f>IF(②選手登録名簿!BB34=0,"",②選手登録名簿!BB34)</f>
        <v/>
      </c>
      <c r="AJ18" s="209" t="str">
        <f t="shared" si="1"/>
        <v/>
      </c>
      <c r="AK18" s="183" t="str">
        <f>IF(AE18="","",IF(VLOOKUP(AE18,②選手登録名簿!$AO$22:$BJ$39,22,0),"リベロ",""))</f>
        <v/>
      </c>
      <c r="BA18" s="202">
        <f t="shared" si="2"/>
        <v>0</v>
      </c>
      <c r="BB18" s="202">
        <f t="shared" si="3"/>
        <v>0</v>
      </c>
      <c r="BC18" s="202"/>
    </row>
    <row r="19" spans="2:55" ht="27.95" customHeight="1" x14ac:dyDescent="0.15">
      <c r="B19" s="1012"/>
      <c r="C19" s="395" t="str">
        <f>IF(E19="","",INDEX(背番号変更名簿!$F$9:$P$22,MATCH(③出場者一覧!E19,背番号変更名簿!$N$9:$N$22,0),10))</f>
        <v/>
      </c>
      <c r="D19" s="396" t="str">
        <f>IF(E19="","",INDEX(背番号変更名簿!$F$9:$P$22,MATCH(③出場者一覧!E19,背番号変更名簿!$N$9:$N$22,0),11))</f>
        <v/>
      </c>
      <c r="E19" s="397" t="str">
        <f>IF(ISERR(SMALL(背番号変更名簿!$N$9:$N$22,10)),"",SMALL(背番号変更名簿!$N$9:$N$22,10))</f>
        <v/>
      </c>
      <c r="F19" s="170" t="str">
        <f>IF(E19="","",INDEX(背番号変更名簿!$F$9:$P$22,MATCH(③出場者一覧!E19,背番号変更名簿!$N$9:$N$22,0),1))</f>
        <v/>
      </c>
      <c r="G19" s="170" t="str">
        <f>IF(E19="","",INDEX(背番号変更名簿!$F$9:$P$22,MATCH(③出場者一覧!E19,背番号変更名簿!$N$9:$N$22,0),7))</f>
        <v/>
      </c>
      <c r="H19" s="398" t="str">
        <f>IF(E19="","",INDEX(背番号変更名簿!$F$9:$P$22,MATCH(③出場者一覧!E19,背番号変更名簿!$N$9:$N$22,0),4))</f>
        <v/>
      </c>
      <c r="I19" s="398" t="str">
        <f>IF(E19="","",INDEX(背番号変更名簿!$F$9:$P$22,MATCH(③出場者一覧!E19,背番号変更名簿!$N$9:$N$22,0),5))</f>
        <v/>
      </c>
      <c r="AB19" s="203" t="str">
        <f t="shared" si="0"/>
        <v/>
      </c>
      <c r="AC19" s="204"/>
      <c r="AD19" s="210" t="str">
        <f>IF(AE19="","",IF(AE19=②選手登録名簿!$AA$25,"主将",""))</f>
        <v/>
      </c>
      <c r="AE19" s="211" t="str">
        <f>②選手登録名簿!AX35</f>
        <v/>
      </c>
      <c r="AF19" s="170" t="str">
        <f>②選手登録名簿!AW35</f>
        <v/>
      </c>
      <c r="AG19" s="170" t="str">
        <f>②選手登録名簿!AZ35</f>
        <v/>
      </c>
      <c r="AH19" s="212" t="str">
        <f>IF(②選手登録名簿!BA35=0,"",②選手登録名簿!BA35)</f>
        <v/>
      </c>
      <c r="AI19" s="213" t="str">
        <f>IF(②選手登録名簿!BB35=0,"",②選手登録名簿!BB35)</f>
        <v/>
      </c>
      <c r="AJ19" s="209" t="str">
        <f t="shared" si="1"/>
        <v/>
      </c>
      <c r="AK19" s="183" t="str">
        <f>IF(AE19="","",IF(VLOOKUP(AE19,②選手登録名簿!$AO$22:$BJ$39,22,0),"リベロ",""))</f>
        <v/>
      </c>
      <c r="BA19" s="202">
        <f t="shared" si="2"/>
        <v>0</v>
      </c>
      <c r="BB19" s="202">
        <f t="shared" si="3"/>
        <v>0</v>
      </c>
      <c r="BC19" s="202"/>
    </row>
    <row r="20" spans="2:55" ht="27.95" customHeight="1" x14ac:dyDescent="0.15">
      <c r="B20" s="1012"/>
      <c r="C20" s="395" t="str">
        <f>IF(E20="","",INDEX(背番号変更名簿!$F$9:$P$22,MATCH(③出場者一覧!E20,背番号変更名簿!$N$9:$N$22,0),10))</f>
        <v/>
      </c>
      <c r="D20" s="396" t="str">
        <f>IF(E20="","",INDEX(背番号変更名簿!$F$9:$P$22,MATCH(③出場者一覧!E20,背番号変更名簿!$N$9:$N$22,0),11))</f>
        <v/>
      </c>
      <c r="E20" s="397" t="str">
        <f>IF(ISERR(SMALL(背番号変更名簿!$N$9:$N$22,11)),"",SMALL(背番号変更名簿!$N$9:$N$22,11))</f>
        <v/>
      </c>
      <c r="F20" s="170" t="str">
        <f>IF(E20="","",INDEX(背番号変更名簿!$F$9:$P$22,MATCH(③出場者一覧!E20,背番号変更名簿!$N$9:$N$22,0),1))</f>
        <v/>
      </c>
      <c r="G20" s="170" t="str">
        <f>IF(E20="","",INDEX(背番号変更名簿!$F$9:$P$22,MATCH(③出場者一覧!E20,背番号変更名簿!$N$9:$N$22,0),7))</f>
        <v/>
      </c>
      <c r="H20" s="398" t="str">
        <f>IF(E20="","",INDEX(背番号変更名簿!$F$9:$P$22,MATCH(③出場者一覧!E20,背番号変更名簿!$N$9:$N$22,0),4))</f>
        <v/>
      </c>
      <c r="I20" s="398" t="str">
        <f>IF(E20="","",INDEX(背番号変更名簿!$F$9:$P$22,MATCH(③出場者一覧!E20,背番号変更名簿!$N$9:$N$22,0),5))</f>
        <v/>
      </c>
      <c r="AB20" s="203" t="str">
        <f t="shared" si="0"/>
        <v/>
      </c>
      <c r="AC20" s="204"/>
      <c r="AD20" s="210" t="str">
        <f>IF(AE20="","",IF(AE20=②選手登録名簿!$AA$25,"主将",""))</f>
        <v/>
      </c>
      <c r="AE20" s="211" t="str">
        <f>②選手登録名簿!AX36</f>
        <v/>
      </c>
      <c r="AF20" s="170" t="str">
        <f>②選手登録名簿!AW36</f>
        <v/>
      </c>
      <c r="AG20" s="170" t="str">
        <f>②選手登録名簿!AZ36</f>
        <v/>
      </c>
      <c r="AH20" s="212" t="str">
        <f>IF(②選手登録名簿!BA36=0,"",②選手登録名簿!BA36)</f>
        <v/>
      </c>
      <c r="AI20" s="213" t="str">
        <f>IF(②選手登録名簿!BB36=0,"",②選手登録名簿!BB36)</f>
        <v/>
      </c>
      <c r="AJ20" s="209" t="str">
        <f t="shared" si="1"/>
        <v/>
      </c>
      <c r="AK20" s="183" t="str">
        <f>IF(AE20="","",IF(VLOOKUP(AE20,②選手登録名簿!$AO$22:$BJ$39,22,0),"リベロ",""))</f>
        <v/>
      </c>
      <c r="BA20" s="202">
        <f t="shared" si="2"/>
        <v>0</v>
      </c>
      <c r="BB20" s="202">
        <f t="shared" si="3"/>
        <v>0</v>
      </c>
      <c r="BC20" s="202"/>
    </row>
    <row r="21" spans="2:55" ht="27.95" customHeight="1" x14ac:dyDescent="0.15">
      <c r="B21" s="1012"/>
      <c r="C21" s="395" t="str">
        <f>IF(E21="","",INDEX(背番号変更名簿!$F$9:$P$22,MATCH(③出場者一覧!E21,背番号変更名簿!$N$9:$N$22,0),10))</f>
        <v/>
      </c>
      <c r="D21" s="396" t="str">
        <f>IF(E21="","",INDEX(背番号変更名簿!$F$9:$P$22,MATCH(③出場者一覧!E21,背番号変更名簿!$N$9:$N$22,0),11))</f>
        <v/>
      </c>
      <c r="E21" s="397" t="str">
        <f>IF(ISERR(SMALL(背番号変更名簿!$N$9:$N$22,12)),"",SMALL(背番号変更名簿!$N$9:$N$22,12))</f>
        <v/>
      </c>
      <c r="F21" s="170" t="str">
        <f>IF(E21="","",INDEX(背番号変更名簿!$F$9:$P$22,MATCH(③出場者一覧!E21,背番号変更名簿!$N$9:$N$22,0),1))</f>
        <v/>
      </c>
      <c r="G21" s="170" t="str">
        <f>IF(E21="","",INDEX(背番号変更名簿!$F$9:$P$22,MATCH(③出場者一覧!E21,背番号変更名簿!$N$9:$N$22,0),7))</f>
        <v/>
      </c>
      <c r="H21" s="398" t="str">
        <f>IF(E21="","",INDEX(背番号変更名簿!$F$9:$P$22,MATCH(③出場者一覧!E21,背番号変更名簿!$N$9:$N$22,0),4))</f>
        <v/>
      </c>
      <c r="I21" s="398" t="str">
        <f>IF(E21="","",INDEX(背番号変更名簿!$F$9:$P$22,MATCH(③出場者一覧!E21,背番号変更名簿!$N$9:$N$22,0),5))</f>
        <v/>
      </c>
      <c r="AB21" s="203" t="str">
        <f t="shared" si="0"/>
        <v/>
      </c>
      <c r="AC21" s="204"/>
      <c r="AD21" s="210" t="str">
        <f>IF(AE21="","",IF(AE21=②選手登録名簿!$AA$25,"主将",""))</f>
        <v/>
      </c>
      <c r="AE21" s="211" t="str">
        <f>②選手登録名簿!AX37</f>
        <v/>
      </c>
      <c r="AF21" s="170" t="str">
        <f>②選手登録名簿!AW37</f>
        <v/>
      </c>
      <c r="AG21" s="170" t="str">
        <f>②選手登録名簿!AZ37</f>
        <v/>
      </c>
      <c r="AH21" s="212" t="str">
        <f>IF(②選手登録名簿!BA37=0,"",②選手登録名簿!BA37)</f>
        <v/>
      </c>
      <c r="AI21" s="213" t="str">
        <f>IF(②選手登録名簿!BB37=0,"",②選手登録名簿!BB37)</f>
        <v/>
      </c>
      <c r="AJ21" s="209" t="str">
        <f t="shared" si="1"/>
        <v/>
      </c>
      <c r="AK21" s="183" t="str">
        <f>IF(AE21="","",IF(VLOOKUP(AE21,②選手登録名簿!$AO$22:$BJ$39,22,0),"リベロ",""))</f>
        <v/>
      </c>
      <c r="BA21" s="202">
        <f t="shared" si="2"/>
        <v>0</v>
      </c>
      <c r="BB21" s="202">
        <f t="shared" si="3"/>
        <v>0</v>
      </c>
      <c r="BC21" s="202"/>
    </row>
    <row r="22" spans="2:55" ht="27.95" customHeight="1" x14ac:dyDescent="0.15">
      <c r="B22" s="1012"/>
      <c r="C22" s="395" t="str">
        <f>IF(E22="","",INDEX(背番号変更名簿!$F$9:$P$22,MATCH(③出場者一覧!E22,背番号変更名簿!$N$9:$N$22,0),10))</f>
        <v/>
      </c>
      <c r="D22" s="396" t="str">
        <f>IF(E22="","",INDEX(背番号変更名簿!$F$9:$P$22,MATCH(③出場者一覧!E22,背番号変更名簿!$N$9:$N$22,0),11))</f>
        <v/>
      </c>
      <c r="E22" s="397" t="str">
        <f>IF(ISERR(SMALL(背番号変更名簿!$N$9:$N$22,13)),"",SMALL(背番号変更名簿!$N$9:$N$22,13))</f>
        <v/>
      </c>
      <c r="F22" s="170" t="str">
        <f>IF(E22="","",INDEX(背番号変更名簿!$F$9:$P$22,MATCH(③出場者一覧!E22,背番号変更名簿!$N$9:$N$22,0),1))</f>
        <v/>
      </c>
      <c r="G22" s="170" t="str">
        <f>IF(E22="","",INDEX(背番号変更名簿!$F$9:$P$22,MATCH(③出場者一覧!E22,背番号変更名簿!$N$9:$N$22,0),7))</f>
        <v/>
      </c>
      <c r="H22" s="398" t="str">
        <f>IF(E22="","",INDEX(背番号変更名簿!$F$9:$P$22,MATCH(③出場者一覧!E22,背番号変更名簿!$N$9:$N$22,0),4))</f>
        <v/>
      </c>
      <c r="I22" s="398" t="str">
        <f>IF(E22="","",INDEX(背番号変更名簿!$F$9:$P$22,MATCH(③出場者一覧!E22,背番号変更名簿!$N$9:$N$22,0),5))</f>
        <v/>
      </c>
      <c r="AB22" s="203" t="str">
        <f t="shared" si="0"/>
        <v/>
      </c>
      <c r="AC22" s="204"/>
      <c r="AD22" s="210" t="str">
        <f>IF(AE22="","",IF(AE22=②選手登録名簿!$AA$25,"主将",""))</f>
        <v/>
      </c>
      <c r="AE22" s="211" t="str">
        <f>②選手登録名簿!AX38</f>
        <v/>
      </c>
      <c r="AF22" s="170" t="str">
        <f>②選手登録名簿!AW38</f>
        <v/>
      </c>
      <c r="AG22" s="170" t="str">
        <f>②選手登録名簿!AZ38</f>
        <v/>
      </c>
      <c r="AH22" s="212" t="str">
        <f>IF(②選手登録名簿!BA38=0,"",②選手登録名簿!BA38)</f>
        <v/>
      </c>
      <c r="AI22" s="213" t="str">
        <f>IF(②選手登録名簿!BB38=0,"",②選手登録名簿!BB38)</f>
        <v/>
      </c>
      <c r="AJ22" s="209" t="str">
        <f t="shared" si="1"/>
        <v/>
      </c>
      <c r="AK22" s="183" t="str">
        <f>IF(AE22="","",IF(VLOOKUP(AE22,②選手登録名簿!$AO$22:$BJ$39,22,0),"リベロ",""))</f>
        <v/>
      </c>
      <c r="BA22" s="202">
        <f t="shared" si="2"/>
        <v>0</v>
      </c>
      <c r="BB22" s="202">
        <f t="shared" si="3"/>
        <v>0</v>
      </c>
      <c r="BC22" s="202"/>
    </row>
    <row r="23" spans="2:55" ht="27.95" customHeight="1" x14ac:dyDescent="0.15">
      <c r="B23" s="1013"/>
      <c r="C23" s="399" t="str">
        <f>IF(E23="","",INDEX(背番号変更名簿!$F$9:$P$22,MATCH(③出場者一覧!E23,背番号変更名簿!$N$9:$N$22,0),10))</f>
        <v/>
      </c>
      <c r="D23" s="400" t="str">
        <f>IF(E23="","",INDEX(背番号変更名簿!$F$9:$P$22,MATCH(③出場者一覧!E23,背番号変更名簿!$N$9:$N$22,0),11))</f>
        <v/>
      </c>
      <c r="E23" s="401" t="str">
        <f>IF(ISERR(SMALL(背番号変更名簿!$N$9:$N$22,14)),"",SMALL(背番号変更名簿!$N$9:$N$22,14))</f>
        <v/>
      </c>
      <c r="F23" s="171" t="str">
        <f>IF(E23="","",INDEX(背番号変更名簿!$F$9:$P$22,MATCH(③出場者一覧!E23,背番号変更名簿!$N$9:$N$22,0),1))</f>
        <v/>
      </c>
      <c r="G23" s="171" t="str">
        <f>IF(E23="","",INDEX(背番号変更名簿!$F$9:$P$22,MATCH(③出場者一覧!E23,背番号変更名簿!$N$9:$N$22,0),7))</f>
        <v/>
      </c>
      <c r="H23" s="402" t="str">
        <f>IF(E23="","",INDEX(背番号変更名簿!$F$9:$P$22,MATCH(③出場者一覧!E23,背番号変更名簿!$N$9:$N$22,0),4))</f>
        <v/>
      </c>
      <c r="I23" s="402" t="str">
        <f>IF(E23="","",INDEX(背番号変更名簿!$F$9:$P$22,MATCH(③出場者一覧!E23,背番号変更名簿!$N$9:$N$22,0),5))</f>
        <v/>
      </c>
      <c r="AB23" s="203" t="str">
        <f t="shared" si="0"/>
        <v/>
      </c>
      <c r="AC23" s="214"/>
      <c r="AD23" s="215" t="str">
        <f>IF(AE23="","",IF(AE23=②選手登録名簿!$AA$25,"主将",""))</f>
        <v/>
      </c>
      <c r="AE23" s="216" t="str">
        <f>②選手登録名簿!AX39</f>
        <v/>
      </c>
      <c r="AF23" s="171" t="str">
        <f>②選手登録名簿!AW39</f>
        <v/>
      </c>
      <c r="AG23" s="171" t="str">
        <f>②選手登録名簿!AZ39</f>
        <v/>
      </c>
      <c r="AH23" s="217" t="str">
        <f>IF(②選手登録名簿!BA39=0,"",②選手登録名簿!BA39)</f>
        <v/>
      </c>
      <c r="AI23" s="218" t="str">
        <f>IF(②選手登録名簿!BB39=0,"",②選手登録名簿!BB39)</f>
        <v/>
      </c>
      <c r="AJ23" s="219" t="str">
        <f t="shared" si="1"/>
        <v/>
      </c>
      <c r="AK23" s="183" t="str">
        <f>IF(AE23="","",IF(VLOOKUP(AE23,②選手登録名簿!$AO$22:$BJ$39,22,0),"リベロ",""))</f>
        <v/>
      </c>
      <c r="BA23" s="202">
        <f t="shared" si="2"/>
        <v>0</v>
      </c>
      <c r="BB23" s="202">
        <f>IF(AF23&lt;&gt;"",COUNTIF($AF$10:$AF$23,AF23),0)</f>
        <v>0</v>
      </c>
      <c r="BC23" s="202"/>
    </row>
    <row r="24" spans="2:55" ht="29.25" customHeight="1" x14ac:dyDescent="0.15">
      <c r="I24" s="390" t="str">
        <f>"(注)年齢は、"&amp;TEXT(MY_NAME_DEF!D21,"yyyy")&amp;"年"&amp;TEXT(MY_NAME_DEF!D21,"m")&amp;"月"&amp;TEXT(MY_NAME_DEF!D21,"d")&amp;"日"&amp;"時点で計算しています。"</f>
        <v>(注)年齢は、2023年4月1日時点で計算しています。</v>
      </c>
    </row>
    <row r="25" spans="2:55" ht="24.95" customHeight="1" x14ac:dyDescent="0.15"/>
    <row r="26" spans="2:55" ht="24" x14ac:dyDescent="0.25">
      <c r="J26" s="312" t="s">
        <v>122</v>
      </c>
    </row>
  </sheetData>
  <sheetProtection password="FFBB" sheet="1" objects="1" scenarios="1"/>
  <mergeCells count="17">
    <mergeCell ref="B9:B23"/>
    <mergeCell ref="B1:I1"/>
    <mergeCell ref="B2:I2"/>
    <mergeCell ref="B3:C3"/>
    <mergeCell ref="B5:E5"/>
    <mergeCell ref="B6:E6"/>
    <mergeCell ref="B7:E7"/>
    <mergeCell ref="B8:E8"/>
    <mergeCell ref="D3:G3"/>
    <mergeCell ref="AC8:AE8"/>
    <mergeCell ref="AB3:AC3"/>
    <mergeCell ref="AD3:AI3"/>
    <mergeCell ref="AB1:AI1"/>
    <mergeCell ref="AB2:AI2"/>
    <mergeCell ref="AC5:AE5"/>
    <mergeCell ref="AC6:AE6"/>
    <mergeCell ref="AC7:AE7"/>
  </mergeCells>
  <phoneticPr fontId="1"/>
  <pageMargins left="0.31496062992125984" right="0.19685039370078741"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B1:AZ45"/>
  <sheetViews>
    <sheetView showGridLines="0" showRowColHeaders="0" zoomScaleNormal="100" zoomScaleSheetLayoutView="100" workbookViewId="0">
      <selection activeCell="C4" sqref="C4"/>
    </sheetView>
  </sheetViews>
  <sheetFormatPr defaultColWidth="5.625" defaultRowHeight="14.25" x14ac:dyDescent="0.15"/>
  <cols>
    <col min="1" max="1" width="4" style="166" customWidth="1"/>
    <col min="2" max="37" width="2.625" style="166" customWidth="1"/>
    <col min="38" max="52" width="6.625" style="166" hidden="1" customWidth="1"/>
    <col min="53" max="255" width="6.625" style="166" customWidth="1"/>
    <col min="256" max="16384" width="5.625" style="166"/>
  </cols>
  <sheetData>
    <row r="1" spans="2:42" ht="30.75" customHeight="1" x14ac:dyDescent="0.15">
      <c r="B1" s="1023" t="str">
        <f>①大会参加申込書!B1</f>
        <v>第２５回ジャパンデフバレーボールカップ　川崎大会</v>
      </c>
      <c r="C1" s="1023"/>
      <c r="D1" s="1023"/>
      <c r="E1" s="1023"/>
      <c r="F1" s="1023"/>
      <c r="G1" s="1023"/>
      <c r="H1" s="1023"/>
      <c r="I1" s="1023"/>
      <c r="J1" s="1023"/>
      <c r="K1" s="1023"/>
      <c r="L1" s="1023"/>
      <c r="M1" s="1023"/>
      <c r="N1" s="1023"/>
      <c r="O1" s="1023"/>
      <c r="P1" s="1023"/>
      <c r="Q1" s="1023"/>
      <c r="R1" s="1023"/>
      <c r="S1" s="1023"/>
      <c r="T1" s="1023"/>
      <c r="U1" s="1023"/>
      <c r="V1" s="1023"/>
      <c r="W1" s="1023"/>
      <c r="X1" s="1023"/>
      <c r="Y1" s="1023"/>
      <c r="Z1" s="1023"/>
      <c r="AA1" s="1023"/>
      <c r="AB1" s="1023"/>
      <c r="AC1" s="1023"/>
      <c r="AD1" s="1023"/>
      <c r="AE1" s="1023"/>
      <c r="AF1" s="1023"/>
      <c r="AG1" s="1023"/>
      <c r="AH1" s="1023"/>
      <c r="AI1" s="1023"/>
      <c r="AJ1" s="1023"/>
    </row>
    <row r="2" spans="2:42" ht="30" customHeight="1" x14ac:dyDescent="0.15">
      <c r="E2" s="890" t="s">
        <v>107</v>
      </c>
      <c r="F2" s="890"/>
      <c r="G2" s="890"/>
      <c r="H2" s="890"/>
      <c r="I2" s="890"/>
      <c r="J2" s="890"/>
      <c r="K2" s="890"/>
      <c r="L2" s="890"/>
      <c r="M2" s="890"/>
      <c r="N2" s="890"/>
      <c r="O2" s="890"/>
      <c r="P2" s="890"/>
      <c r="Q2" s="890"/>
      <c r="R2" s="890"/>
      <c r="S2" s="890"/>
      <c r="T2" s="890"/>
      <c r="U2" s="890"/>
      <c r="V2" s="890"/>
      <c r="W2" s="890"/>
      <c r="X2" s="890"/>
      <c r="Y2" s="890"/>
      <c r="Z2" s="890"/>
      <c r="AA2" s="890"/>
      <c r="AB2" s="890"/>
      <c r="AC2" s="890"/>
      <c r="AD2" s="890"/>
      <c r="AE2" s="890"/>
      <c r="AF2" s="890"/>
      <c r="AG2" s="890"/>
      <c r="AM2" s="166" t="s">
        <v>123</v>
      </c>
      <c r="AN2" s="166" t="s">
        <v>125</v>
      </c>
      <c r="AO2" s="166" t="s">
        <v>126</v>
      </c>
      <c r="AP2" s="166" t="s">
        <v>130</v>
      </c>
    </row>
    <row r="4" spans="2:42" x14ac:dyDescent="0.15">
      <c r="C4" s="166" t="s">
        <v>108</v>
      </c>
    </row>
    <row r="5" spans="2:42" ht="7.5" customHeight="1" x14ac:dyDescent="0.15"/>
    <row r="6" spans="2:42" ht="24" customHeight="1" x14ac:dyDescent="0.15">
      <c r="D6" s="1024" t="s">
        <v>131</v>
      </c>
      <c r="E6" s="1025"/>
      <c r="F6" s="1025"/>
      <c r="G6" s="1025"/>
      <c r="H6" s="1025"/>
      <c r="I6" s="1025"/>
      <c r="J6" s="1026"/>
      <c r="K6" s="1027" t="s">
        <v>132</v>
      </c>
      <c r="L6" s="1027"/>
      <c r="M6" s="1027"/>
      <c r="N6" s="1027"/>
      <c r="O6" s="1027"/>
      <c r="P6" s="1027"/>
      <c r="Q6" s="1027"/>
      <c r="R6" s="1027"/>
      <c r="S6" s="1027"/>
      <c r="T6" s="1027"/>
      <c r="U6" s="1027"/>
      <c r="V6" s="1027"/>
      <c r="W6" s="1027"/>
      <c r="X6" s="1027"/>
      <c r="Y6" s="1027"/>
      <c r="Z6" s="1027"/>
      <c r="AA6" s="1027"/>
      <c r="AB6" s="1027"/>
      <c r="AC6" s="1027"/>
      <c r="AD6" s="1027"/>
      <c r="AE6" s="1027"/>
      <c r="AF6" s="1027"/>
      <c r="AG6" s="1027"/>
      <c r="AH6" s="1027"/>
    </row>
    <row r="7" spans="2:42" ht="24" customHeight="1" x14ac:dyDescent="0.15">
      <c r="D7" s="1028" t="s">
        <v>109</v>
      </c>
      <c r="E7" s="1028"/>
      <c r="F7" s="1028"/>
      <c r="G7" s="1028"/>
      <c r="H7" s="1028"/>
      <c r="I7" s="1028"/>
      <c r="J7" s="1028"/>
      <c r="K7" s="1028" t="str">
        <f>IF(AM7="×","入力されていません","入力済み")</f>
        <v>入力されていません</v>
      </c>
      <c r="L7" s="1028"/>
      <c r="M7" s="1028"/>
      <c r="N7" s="1028"/>
      <c r="O7" s="1028"/>
      <c r="P7" s="1028"/>
      <c r="Q7" s="1028"/>
      <c r="R7" s="1028"/>
      <c r="S7" s="1028"/>
      <c r="T7" s="1028"/>
      <c r="U7" s="1028"/>
      <c r="V7" s="1028"/>
      <c r="W7" s="1028"/>
      <c r="X7" s="1028"/>
      <c r="Y7" s="1028"/>
      <c r="Z7" s="1028"/>
      <c r="AA7" s="1028"/>
      <c r="AB7" s="1028"/>
      <c r="AC7" s="1028"/>
      <c r="AD7" s="1028"/>
      <c r="AE7" s="1028"/>
      <c r="AF7" s="1028"/>
      <c r="AG7" s="1028"/>
      <c r="AH7" s="1028"/>
      <c r="AM7" s="179" t="str">
        <f>IF(TRIM(①大会参加申込書!D6)="","×","○")</f>
        <v>×</v>
      </c>
      <c r="AN7" s="179"/>
      <c r="AO7" s="179"/>
      <c r="AP7" s="179"/>
    </row>
    <row r="8" spans="2:42" ht="24" customHeight="1" x14ac:dyDescent="0.15">
      <c r="D8" s="1028" t="s">
        <v>118</v>
      </c>
      <c r="E8" s="1028"/>
      <c r="F8" s="1028"/>
      <c r="G8" s="1028"/>
      <c r="H8" s="1028"/>
      <c r="I8" s="1028"/>
      <c r="J8" s="1028"/>
      <c r="K8" s="1028" t="str">
        <f>IF(AM8="×","入力されていません","入力済み")</f>
        <v>入力されていません</v>
      </c>
      <c r="L8" s="1028"/>
      <c r="M8" s="1028"/>
      <c r="N8" s="1028"/>
      <c r="O8" s="1028"/>
      <c r="P8" s="1028"/>
      <c r="Q8" s="1028"/>
      <c r="R8" s="1028"/>
      <c r="S8" s="1028"/>
      <c r="T8" s="1028"/>
      <c r="U8" s="1028"/>
      <c r="V8" s="1028"/>
      <c r="W8" s="1028"/>
      <c r="X8" s="1028"/>
      <c r="Y8" s="1028"/>
      <c r="Z8" s="1028"/>
      <c r="AA8" s="1028"/>
      <c r="AB8" s="1028"/>
      <c r="AC8" s="1028"/>
      <c r="AD8" s="1028"/>
      <c r="AE8" s="1028"/>
      <c r="AF8" s="1028"/>
      <c r="AG8" s="1028"/>
      <c r="AH8" s="1028"/>
      <c r="AM8" s="179" t="str">
        <f>IF(TRIM(①大会参加申込書!R6)="","×","○")</f>
        <v>×</v>
      </c>
      <c r="AN8" s="179"/>
      <c r="AO8" s="179"/>
      <c r="AP8" s="179"/>
    </row>
    <row r="9" spans="2:42" ht="24" customHeight="1" x14ac:dyDescent="0.15">
      <c r="D9" s="1032" t="s">
        <v>110</v>
      </c>
      <c r="E9" s="1032"/>
      <c r="F9" s="1032"/>
      <c r="G9" s="1032"/>
      <c r="H9" s="1032"/>
      <c r="I9" s="1032"/>
      <c r="J9" s="1032"/>
      <c r="K9" s="1029"/>
      <c r="L9" s="1030"/>
      <c r="M9" s="1030"/>
      <c r="N9" s="1030"/>
      <c r="O9" s="1030"/>
      <c r="P9" s="1030"/>
      <c r="Q9" s="1030"/>
      <c r="R9" s="1030"/>
      <c r="S9" s="1030"/>
      <c r="T9" s="1030"/>
      <c r="U9" s="1030"/>
      <c r="V9" s="1030"/>
      <c r="W9" s="1030"/>
      <c r="X9" s="1030"/>
      <c r="Y9" s="1030"/>
      <c r="Z9" s="1030"/>
      <c r="AA9" s="1030"/>
      <c r="AB9" s="1030"/>
      <c r="AC9" s="1030"/>
      <c r="AD9" s="1030"/>
      <c r="AE9" s="1030"/>
      <c r="AF9" s="1030"/>
      <c r="AG9" s="1030"/>
      <c r="AH9" s="1031"/>
      <c r="AM9" s="179"/>
      <c r="AN9" s="179"/>
      <c r="AO9" s="179"/>
      <c r="AP9" s="179"/>
    </row>
    <row r="10" spans="2:42" ht="24" customHeight="1" x14ac:dyDescent="0.15">
      <c r="D10" s="180"/>
      <c r="E10" s="1033" t="s">
        <v>111</v>
      </c>
      <c r="F10" s="1034"/>
      <c r="G10" s="1034"/>
      <c r="H10" s="1034"/>
      <c r="I10" s="1034"/>
      <c r="J10" s="1034"/>
      <c r="K10" s="1034" t="str">
        <f>IF(AM10="×","入力されていません","入力済み")</f>
        <v>入力されていません</v>
      </c>
      <c r="L10" s="1034"/>
      <c r="M10" s="1034"/>
      <c r="N10" s="1034"/>
      <c r="O10" s="1034"/>
      <c r="P10" s="1034"/>
      <c r="Q10" s="1034"/>
      <c r="R10" s="1034"/>
      <c r="S10" s="1034"/>
      <c r="T10" s="1034"/>
      <c r="U10" s="1034"/>
      <c r="V10" s="1034"/>
      <c r="W10" s="1034"/>
      <c r="X10" s="1034"/>
      <c r="Y10" s="1034"/>
      <c r="Z10" s="1034"/>
      <c r="AA10" s="1034"/>
      <c r="AB10" s="1034"/>
      <c r="AC10" s="1034"/>
      <c r="AD10" s="1034"/>
      <c r="AE10" s="1034"/>
      <c r="AF10" s="1034"/>
      <c r="AG10" s="1034"/>
      <c r="AH10" s="1034"/>
      <c r="AM10" s="179" t="str">
        <f>IF(AND(TRIM(①大会参加申込書!F9)&lt;&gt;"",TRIM(①大会参加申込書!H9)&lt;&gt;""),"○","×")</f>
        <v>×</v>
      </c>
      <c r="AN10" s="179"/>
      <c r="AO10" s="179"/>
      <c r="AP10" s="179"/>
    </row>
    <row r="11" spans="2:42" ht="24" customHeight="1" x14ac:dyDescent="0.15">
      <c r="D11" s="180"/>
      <c r="E11" s="1033" t="s">
        <v>112</v>
      </c>
      <c r="F11" s="1034"/>
      <c r="G11" s="1034"/>
      <c r="H11" s="1034"/>
      <c r="I11" s="1034"/>
      <c r="J11" s="1034"/>
      <c r="K11" s="1034" t="str">
        <f>IF(AM11="×","入力されていません","入力済み")</f>
        <v>入力されていません</v>
      </c>
      <c r="L11" s="1034"/>
      <c r="M11" s="1034"/>
      <c r="N11" s="1034"/>
      <c r="O11" s="1034"/>
      <c r="P11" s="1034"/>
      <c r="Q11" s="1034"/>
      <c r="R11" s="1034"/>
      <c r="S11" s="1034"/>
      <c r="T11" s="1034"/>
      <c r="U11" s="1034"/>
      <c r="V11" s="1034"/>
      <c r="W11" s="1034"/>
      <c r="X11" s="1034"/>
      <c r="Y11" s="1034"/>
      <c r="Z11" s="1034"/>
      <c r="AA11" s="1034"/>
      <c r="AB11" s="1034"/>
      <c r="AC11" s="1034"/>
      <c r="AD11" s="1034"/>
      <c r="AE11" s="1034"/>
      <c r="AF11" s="1034"/>
      <c r="AG11" s="1034"/>
      <c r="AH11" s="1034"/>
      <c r="AM11" s="179" t="str">
        <f>IF(TRIM(①大会参加申込書!L9)="","×","○")</f>
        <v>×</v>
      </c>
      <c r="AN11" s="179"/>
      <c r="AO11" s="179"/>
      <c r="AP11" s="179"/>
    </row>
    <row r="12" spans="2:42" ht="24" customHeight="1" x14ac:dyDescent="0.15">
      <c r="D12" s="180"/>
      <c r="E12" s="1033" t="s">
        <v>124</v>
      </c>
      <c r="F12" s="1034"/>
      <c r="G12" s="1034"/>
      <c r="H12" s="1034"/>
      <c r="I12" s="1034"/>
      <c r="J12" s="1034"/>
      <c r="K12" s="1034" t="str">
        <f>IF(AM12="×","入力されていません","入力済み")</f>
        <v>入力されていません</v>
      </c>
      <c r="L12" s="1034"/>
      <c r="M12" s="1034"/>
      <c r="N12" s="1034"/>
      <c r="O12" s="1034"/>
      <c r="P12" s="1034"/>
      <c r="Q12" s="1034"/>
      <c r="R12" s="1034"/>
      <c r="S12" s="1034"/>
      <c r="T12" s="1034"/>
      <c r="U12" s="1034"/>
      <c r="V12" s="1034"/>
      <c r="W12" s="1034"/>
      <c r="X12" s="1034"/>
      <c r="Y12" s="1034"/>
      <c r="Z12" s="1034"/>
      <c r="AA12" s="1034"/>
      <c r="AB12" s="1034"/>
      <c r="AC12" s="1034"/>
      <c r="AD12" s="1034"/>
      <c r="AE12" s="1034"/>
      <c r="AF12" s="1034"/>
      <c r="AG12" s="1034"/>
      <c r="AH12" s="1034"/>
      <c r="AM12" s="179" t="str">
        <f>IF(TRIM(①大会参加申込書!F10)="","×","○")</f>
        <v>×</v>
      </c>
      <c r="AN12" s="179"/>
      <c r="AO12" s="179"/>
      <c r="AP12" s="179"/>
    </row>
    <row r="13" spans="2:42" ht="24" customHeight="1" x14ac:dyDescent="0.15">
      <c r="D13" s="180"/>
      <c r="E13" s="1033" t="s">
        <v>96</v>
      </c>
      <c r="F13" s="1034"/>
      <c r="G13" s="1034"/>
      <c r="H13" s="1034"/>
      <c r="I13" s="1034"/>
      <c r="J13" s="1034"/>
      <c r="K13" s="1034" t="str">
        <f>IF(AM13="×","入力されていません","入力済み")</f>
        <v>入力されていません</v>
      </c>
      <c r="L13" s="1034"/>
      <c r="M13" s="1034"/>
      <c r="N13" s="1034"/>
      <c r="O13" s="1034"/>
      <c r="P13" s="1034"/>
      <c r="Q13" s="1034"/>
      <c r="R13" s="1034"/>
      <c r="S13" s="1034"/>
      <c r="T13" s="1034"/>
      <c r="U13" s="1034"/>
      <c r="V13" s="1034"/>
      <c r="W13" s="1034"/>
      <c r="X13" s="1034"/>
      <c r="Y13" s="1034"/>
      <c r="Z13" s="1034"/>
      <c r="AA13" s="1034"/>
      <c r="AB13" s="1034"/>
      <c r="AC13" s="1034"/>
      <c r="AD13" s="1034"/>
      <c r="AE13" s="1034"/>
      <c r="AF13" s="1034"/>
      <c r="AG13" s="1034"/>
      <c r="AH13" s="1034"/>
      <c r="AM13" s="179" t="str">
        <f>IF(TRIM(①大会参加申込書!F11)="","×","○")</f>
        <v>×</v>
      </c>
      <c r="AN13" s="179"/>
      <c r="AO13" s="179"/>
      <c r="AP13" s="179"/>
    </row>
    <row r="14" spans="2:42" ht="24" customHeight="1" x14ac:dyDescent="0.15">
      <c r="D14" s="180"/>
      <c r="E14" s="1039" t="s">
        <v>113</v>
      </c>
      <c r="F14" s="1040"/>
      <c r="G14" s="1040"/>
      <c r="H14" s="1040"/>
      <c r="I14" s="1040"/>
      <c r="J14" s="1040"/>
      <c r="K14" s="1034" t="str">
        <f>IF(AM14="○","入力済み",IF(AM14="E1","入力されていません",IF(AM14="E2","E-mail の書式が誤っています","データに誤りがあります")))</f>
        <v>入力されていません</v>
      </c>
      <c r="L14" s="1034"/>
      <c r="M14" s="1034"/>
      <c r="N14" s="1034"/>
      <c r="O14" s="1034"/>
      <c r="P14" s="1034"/>
      <c r="Q14" s="1034"/>
      <c r="R14" s="1034"/>
      <c r="S14" s="1034"/>
      <c r="T14" s="1034"/>
      <c r="U14" s="1034"/>
      <c r="V14" s="1034"/>
      <c r="W14" s="1034"/>
      <c r="X14" s="1034"/>
      <c r="Y14" s="1034"/>
      <c r="Z14" s="1034"/>
      <c r="AA14" s="1034"/>
      <c r="AB14" s="1034"/>
      <c r="AC14" s="1034"/>
      <c r="AD14" s="1034"/>
      <c r="AE14" s="1034"/>
      <c r="AF14" s="1034"/>
      <c r="AG14" s="1034"/>
      <c r="AH14" s="1034"/>
      <c r="AM14" s="179" t="str">
        <f>IF(AN14="×","E1",IF(AO14="×","E2","○"))</f>
        <v>E1</v>
      </c>
      <c r="AN14" s="179" t="str">
        <f>IF(AND(TRIM(①大会参加申込書!F12)="",TRIM(①大会参加申込書!F13)=""),"×","○")</f>
        <v>×</v>
      </c>
      <c r="AO14" s="179" t="str">
        <f>IF(AN14="○", IF(AND(IF(TRIM(①大会参加申込書!F12)&lt;&gt;"",IF(ISERROR(SEARCH("@",①大会参加申込書!F12)),FALSE,TRUE),TRUE),IF(TRIM(①大会参加申込書!F13)&lt;&gt;"",IF(ISERROR(SEARCH("@",①大会参加申込書!F13)),FALSE,TRUE),TRUE)),"○","×"),"")</f>
        <v/>
      </c>
      <c r="AP14" s="179"/>
    </row>
    <row r="15" spans="2:42" ht="24" customHeight="1" x14ac:dyDescent="0.15">
      <c r="D15" s="1035" t="s">
        <v>127</v>
      </c>
      <c r="E15" s="1036"/>
      <c r="F15" s="1036"/>
      <c r="G15" s="1036"/>
      <c r="H15" s="1036"/>
      <c r="I15" s="1036"/>
      <c r="J15" s="1037"/>
      <c r="K15" s="1038" t="str">
        <f>IF(AM15="×","入力されていません","入力済み")</f>
        <v>入力されていません</v>
      </c>
      <c r="L15" s="1038"/>
      <c r="M15" s="1038"/>
      <c r="N15" s="1038"/>
      <c r="O15" s="1038"/>
      <c r="P15" s="1038"/>
      <c r="Q15" s="1038"/>
      <c r="R15" s="1038"/>
      <c r="S15" s="1038"/>
      <c r="T15" s="1038"/>
      <c r="U15" s="1038"/>
      <c r="V15" s="1038"/>
      <c r="W15" s="1038"/>
      <c r="X15" s="1038"/>
      <c r="Y15" s="1038"/>
      <c r="Z15" s="1038"/>
      <c r="AA15" s="1038"/>
      <c r="AB15" s="1038"/>
      <c r="AC15" s="1038"/>
      <c r="AD15" s="1038"/>
      <c r="AE15" s="1038"/>
      <c r="AF15" s="1038"/>
      <c r="AG15" s="1038"/>
      <c r="AH15" s="1038"/>
      <c r="AM15" s="179" t="str">
        <f>IF(AND(TRIM(①大会参加申込書!D21)="",TRIM(①大会参加申込書!D22)="",TRIM(①大会参加申込書!D23)="",TRIM(①大会参加申込書!D24)="",TRIM(①大会参加申込書!D25)=""),"×","○")</f>
        <v>×</v>
      </c>
      <c r="AN15" s="179"/>
      <c r="AO15" s="179"/>
      <c r="AP15" s="179"/>
    </row>
    <row r="16" spans="2:42" x14ac:dyDescent="0.15">
      <c r="AM16" s="181"/>
      <c r="AN16" s="181"/>
      <c r="AO16" s="181"/>
      <c r="AP16" s="181"/>
    </row>
    <row r="17" spans="3:42" hidden="1" x14ac:dyDescent="0.15">
      <c r="AM17" s="181"/>
      <c r="AN17" s="181"/>
      <c r="AO17" s="181"/>
      <c r="AP17" s="181"/>
    </row>
    <row r="18" spans="3:42" hidden="1" x14ac:dyDescent="0.15">
      <c r="AM18" s="181"/>
      <c r="AN18" s="181"/>
      <c r="AO18" s="181"/>
      <c r="AP18" s="181"/>
    </row>
    <row r="19" spans="3:42" hidden="1" x14ac:dyDescent="0.15">
      <c r="AM19" s="181"/>
      <c r="AN19" s="181"/>
      <c r="AO19" s="181"/>
      <c r="AP19" s="181"/>
    </row>
    <row r="20" spans="3:42" hidden="1" x14ac:dyDescent="0.15">
      <c r="AM20" s="181"/>
      <c r="AN20" s="181"/>
      <c r="AO20" s="181"/>
      <c r="AP20" s="181"/>
    </row>
    <row r="21" spans="3:42" hidden="1" x14ac:dyDescent="0.15">
      <c r="AM21" s="181"/>
      <c r="AN21" s="181"/>
      <c r="AO21" s="181"/>
      <c r="AP21" s="181"/>
    </row>
    <row r="22" spans="3:42" hidden="1" x14ac:dyDescent="0.15">
      <c r="AM22" s="181"/>
      <c r="AN22" s="181"/>
      <c r="AO22" s="181"/>
      <c r="AP22" s="181"/>
    </row>
    <row r="23" spans="3:42" hidden="1" x14ac:dyDescent="0.15">
      <c r="AM23" s="181"/>
      <c r="AN23" s="181"/>
      <c r="AO23" s="181"/>
      <c r="AP23" s="181"/>
    </row>
    <row r="24" spans="3:42" hidden="1" x14ac:dyDescent="0.15">
      <c r="AM24" s="181"/>
      <c r="AN24" s="181"/>
      <c r="AO24" s="181"/>
      <c r="AP24" s="181"/>
    </row>
    <row r="25" spans="3:42" hidden="1" x14ac:dyDescent="0.15">
      <c r="AM25" s="181"/>
      <c r="AN25" s="181"/>
      <c r="AO25" s="181"/>
      <c r="AP25" s="181"/>
    </row>
    <row r="26" spans="3:42" hidden="1" x14ac:dyDescent="0.15">
      <c r="AM26" s="181"/>
      <c r="AN26" s="181"/>
      <c r="AO26" s="181"/>
      <c r="AP26" s="181"/>
    </row>
    <row r="27" spans="3:42" hidden="1" x14ac:dyDescent="0.15">
      <c r="AM27" s="181"/>
      <c r="AN27" s="181"/>
      <c r="AO27" s="181"/>
      <c r="AP27" s="181"/>
    </row>
    <row r="28" spans="3:42" hidden="1" x14ac:dyDescent="0.15">
      <c r="AM28" s="181"/>
      <c r="AN28" s="181"/>
      <c r="AO28" s="181"/>
      <c r="AP28" s="181"/>
    </row>
    <row r="29" spans="3:42" hidden="1" x14ac:dyDescent="0.15">
      <c r="AM29" s="181"/>
      <c r="AN29" s="181"/>
      <c r="AO29" s="181"/>
      <c r="AP29" s="181"/>
    </row>
    <row r="30" spans="3:42" hidden="1" x14ac:dyDescent="0.15">
      <c r="AM30" s="181"/>
      <c r="AN30" s="181"/>
      <c r="AO30" s="181"/>
      <c r="AP30" s="181"/>
    </row>
    <row r="31" spans="3:42" x14ac:dyDescent="0.15">
      <c r="AM31" s="181"/>
      <c r="AN31" s="181"/>
      <c r="AO31" s="181"/>
      <c r="AP31" s="181"/>
    </row>
    <row r="32" spans="3:42" x14ac:dyDescent="0.15">
      <c r="C32" s="166" t="s">
        <v>114</v>
      </c>
      <c r="AM32" s="181"/>
      <c r="AN32" s="181"/>
      <c r="AO32" s="181"/>
      <c r="AP32" s="181"/>
    </row>
    <row r="33" spans="4:48" x14ac:dyDescent="0.15">
      <c r="AM33" s="181"/>
      <c r="AN33" s="181"/>
      <c r="AO33" s="181"/>
      <c r="AP33" s="181"/>
    </row>
    <row r="34" spans="4:48" ht="24" customHeight="1" x14ac:dyDescent="0.15">
      <c r="D34" s="1024" t="s">
        <v>131</v>
      </c>
      <c r="E34" s="1025"/>
      <c r="F34" s="1025"/>
      <c r="G34" s="1025"/>
      <c r="H34" s="1025"/>
      <c r="I34" s="1025"/>
      <c r="J34" s="1026"/>
      <c r="K34" s="1027" t="s">
        <v>132</v>
      </c>
      <c r="L34" s="1027"/>
      <c r="M34" s="1027"/>
      <c r="N34" s="1027"/>
      <c r="O34" s="1027"/>
      <c r="P34" s="1027"/>
      <c r="Q34" s="1027"/>
      <c r="R34" s="1027"/>
      <c r="S34" s="1027"/>
      <c r="T34" s="1027"/>
      <c r="U34" s="1027"/>
      <c r="V34" s="1027"/>
      <c r="W34" s="1027"/>
      <c r="X34" s="1027"/>
      <c r="Y34" s="1027"/>
      <c r="Z34" s="1027"/>
      <c r="AA34" s="1027"/>
      <c r="AB34" s="1027"/>
      <c r="AC34" s="1027"/>
      <c r="AD34" s="1027"/>
      <c r="AE34" s="1027"/>
      <c r="AF34" s="1027"/>
      <c r="AG34" s="1027"/>
      <c r="AH34" s="1027"/>
      <c r="AM34" s="181"/>
      <c r="AN34" s="181"/>
      <c r="AO34" s="181"/>
      <c r="AP34" s="181"/>
    </row>
    <row r="35" spans="4:48" ht="24" customHeight="1" x14ac:dyDescent="0.15">
      <c r="D35" s="1020" t="s">
        <v>97</v>
      </c>
      <c r="E35" s="1021"/>
      <c r="F35" s="1021"/>
      <c r="G35" s="1021"/>
      <c r="H35" s="1021"/>
      <c r="I35" s="1021"/>
      <c r="J35" s="1022"/>
      <c r="K35" s="1028" t="str">
        <f>IF(AM35="△","",IF(AM35="○","重複はありません",IF(AM35="E1","背番号の入力がない選手がいます",IF(AM35="E2","重複する背番号があります"))))</f>
        <v/>
      </c>
      <c r="L35" s="1028"/>
      <c r="M35" s="1028"/>
      <c r="N35" s="1028"/>
      <c r="O35" s="1028"/>
      <c r="P35" s="1028"/>
      <c r="Q35" s="1028"/>
      <c r="R35" s="1028"/>
      <c r="S35" s="1028"/>
      <c r="T35" s="1028"/>
      <c r="U35" s="1028"/>
      <c r="V35" s="1028"/>
      <c r="W35" s="1028"/>
      <c r="X35" s="1028"/>
      <c r="Y35" s="1028"/>
      <c r="Z35" s="1028"/>
      <c r="AA35" s="1028"/>
      <c r="AB35" s="1028"/>
      <c r="AC35" s="1028"/>
      <c r="AD35" s="1028"/>
      <c r="AE35" s="1028"/>
      <c r="AF35" s="1028"/>
      <c r="AG35" s="1028"/>
      <c r="AH35" s="1028"/>
      <c r="AM35" s="179" t="str">
        <f>IF(AND(AN35=0,AO35=0),"△",IF(AP35="×","E1",IF(AN35&lt;&gt;AO35,"E2","○")))</f>
        <v>△</v>
      </c>
      <c r="AN35" s="179">
        <f>14-COUNTBLANK(③出場者一覧!AE10:AE23)</f>
        <v>0</v>
      </c>
      <c r="AO35" s="179">
        <f>SUM(③出場者一覧!BA10:BA23)</f>
        <v>0</v>
      </c>
      <c r="AP35" s="179" t="str">
        <f>IF(SUM(②選手登録名簿!V22:V39)=18,"○","×")</f>
        <v>○</v>
      </c>
    </row>
    <row r="36" spans="4:48" ht="24" customHeight="1" x14ac:dyDescent="0.15">
      <c r="D36" s="1020" t="s">
        <v>140</v>
      </c>
      <c r="E36" s="1021"/>
      <c r="F36" s="1021"/>
      <c r="G36" s="1021"/>
      <c r="H36" s="1021"/>
      <c r="I36" s="1021"/>
      <c r="J36" s="1022"/>
      <c r="K36" s="1028" t="str">
        <f>IF(AM36="△","",IF(AM36="○","重複はありません","重複している選手名があります"))</f>
        <v/>
      </c>
      <c r="L36" s="1028"/>
      <c r="M36" s="1028"/>
      <c r="N36" s="1028"/>
      <c r="O36" s="1028"/>
      <c r="P36" s="1028"/>
      <c r="Q36" s="1028"/>
      <c r="R36" s="1028"/>
      <c r="S36" s="1028"/>
      <c r="T36" s="1028"/>
      <c r="U36" s="1028"/>
      <c r="V36" s="1028"/>
      <c r="W36" s="1028"/>
      <c r="X36" s="1028"/>
      <c r="Y36" s="1028"/>
      <c r="Z36" s="1028"/>
      <c r="AA36" s="1028"/>
      <c r="AB36" s="1028"/>
      <c r="AC36" s="1028"/>
      <c r="AD36" s="1028"/>
      <c r="AE36" s="1028"/>
      <c r="AF36" s="1028"/>
      <c r="AG36" s="1028"/>
      <c r="AH36" s="1028"/>
      <c r="AM36" s="179" t="str">
        <f>IF(AND(AN36=0,AO36=0),"△",IF(AN36=AO36,"○","×"))</f>
        <v>△</v>
      </c>
      <c r="AN36" s="179">
        <f>14-COUNTBLANK(③出場者一覧!AF10:AF23)</f>
        <v>0</v>
      </c>
      <c r="AO36" s="179">
        <f>SUM(③出場者一覧!BB10:BB23)</f>
        <v>0</v>
      </c>
      <c r="AP36" s="179"/>
    </row>
    <row r="37" spans="4:48" ht="24" customHeight="1" x14ac:dyDescent="0.15">
      <c r="D37" s="1020" t="s">
        <v>213</v>
      </c>
      <c r="E37" s="1021"/>
      <c r="F37" s="1021"/>
      <c r="G37" s="1021"/>
      <c r="H37" s="1021"/>
      <c r="I37" s="1021"/>
      <c r="J37" s="1022"/>
      <c r="K37" s="1041" t="str">
        <f>IF(AM37="○","問題はありません","スタッフ区分が指定されていない箇所があります")</f>
        <v>問題はありません</v>
      </c>
      <c r="L37" s="1041"/>
      <c r="M37" s="1041"/>
      <c r="N37" s="1041"/>
      <c r="O37" s="1041"/>
      <c r="P37" s="1041"/>
      <c r="Q37" s="1041"/>
      <c r="R37" s="1041"/>
      <c r="S37" s="1041"/>
      <c r="T37" s="1041"/>
      <c r="U37" s="1041"/>
      <c r="V37" s="1041"/>
      <c r="W37" s="1041"/>
      <c r="X37" s="1041"/>
      <c r="Y37" s="1041"/>
      <c r="Z37" s="1041"/>
      <c r="AA37" s="1041"/>
      <c r="AB37" s="1041"/>
      <c r="AC37" s="1041"/>
      <c r="AD37" s="1041"/>
      <c r="AE37" s="1041"/>
      <c r="AF37" s="1041"/>
      <c r="AG37" s="1041"/>
      <c r="AH37" s="1041"/>
      <c r="AM37" s="179" t="str">
        <f>IF(AN37="×","E1","○")</f>
        <v>○</v>
      </c>
      <c r="AN37" s="179" t="str">
        <f>IF(SUM(②選手登録名簿!AT22:AT39)=18,"○","×")</f>
        <v>○</v>
      </c>
      <c r="AO37" s="179"/>
      <c r="AP37" s="179"/>
    </row>
    <row r="38" spans="4:48" ht="24" customHeight="1" x14ac:dyDescent="0.15">
      <c r="D38" s="1020" t="s">
        <v>139</v>
      </c>
      <c r="E38" s="1021"/>
      <c r="F38" s="1021"/>
      <c r="G38" s="1021"/>
      <c r="H38" s="1021"/>
      <c r="I38" s="1021"/>
      <c r="J38" s="1022"/>
      <c r="K38" s="1028" t="str">
        <f>IF(AM38="○","指定されました",IF(AM38="E1","主将が指定されていません",IF(AM38="E2","『選手』以外の人に指定されています",IF(AM38="E3","背番号が入力されていません"))))</f>
        <v>主将が指定されていません</v>
      </c>
      <c r="L38" s="1028"/>
      <c r="M38" s="1028"/>
      <c r="N38" s="1028"/>
      <c r="O38" s="1028"/>
      <c r="P38" s="1028"/>
      <c r="Q38" s="1028"/>
      <c r="R38" s="1028"/>
      <c r="S38" s="1028"/>
      <c r="T38" s="1028"/>
      <c r="U38" s="1028"/>
      <c r="V38" s="1028"/>
      <c r="W38" s="1028"/>
      <c r="X38" s="1028"/>
      <c r="Y38" s="1028"/>
      <c r="Z38" s="1028"/>
      <c r="AA38" s="1028"/>
      <c r="AB38" s="1028"/>
      <c r="AC38" s="1028"/>
      <c r="AD38" s="1028"/>
      <c r="AE38" s="1028"/>
      <c r="AF38" s="1028"/>
      <c r="AG38" s="1028"/>
      <c r="AH38" s="1028"/>
      <c r="AM38" s="179" t="str">
        <f>IF(AND(AN38="○",AO38="○",AP38="○"),"○",IF(AN38="×","E1",IF(AO38="×","E2",IF(AP38="×","E3"))))</f>
        <v>E1</v>
      </c>
      <c r="AN38" s="179" t="str">
        <f>IF(②選手登録名簿!AA25="","×","○")</f>
        <v>×</v>
      </c>
      <c r="AO38" s="179" t="str">
        <f>IF(SUM(②選手登録名簿!U22:U39)=18,"○","×")</f>
        <v>○</v>
      </c>
      <c r="AP38" s="179" t="str">
        <f>IF(②選手登録名簿!AA25=0,"×","○")</f>
        <v>○</v>
      </c>
    </row>
    <row r="39" spans="4:48" ht="27" hidden="1" customHeight="1" x14ac:dyDescent="0.15"/>
    <row r="40" spans="4:48" ht="24" customHeight="1" x14ac:dyDescent="0.15">
      <c r="D40" s="1020" t="s">
        <v>430</v>
      </c>
      <c r="E40" s="1021"/>
      <c r="F40" s="1021"/>
      <c r="G40" s="1021"/>
      <c r="H40" s="1021"/>
      <c r="I40" s="1021"/>
      <c r="J40" s="1022"/>
      <c r="K40" s="1019" t="str">
        <f>IF(AM40="○",IF(AS40=0,AM43,AM44),IF(AM40="E1",AM41,IF(AM40="E2",AM42,IF(AM40="E3",AM45,""))))</f>
        <v>リベロプレーヤーは指定されていません</v>
      </c>
      <c r="L40" s="1019"/>
      <c r="M40" s="1019"/>
      <c r="N40" s="1019"/>
      <c r="O40" s="1019"/>
      <c r="P40" s="1019"/>
      <c r="Q40" s="1019"/>
      <c r="R40" s="1019"/>
      <c r="S40" s="1019"/>
      <c r="T40" s="1019"/>
      <c r="U40" s="1019"/>
      <c r="V40" s="1019"/>
      <c r="W40" s="1019"/>
      <c r="X40" s="1019"/>
      <c r="Y40" s="1019"/>
      <c r="Z40" s="1019"/>
      <c r="AA40" s="1019"/>
      <c r="AB40" s="1019"/>
      <c r="AC40" s="1019"/>
      <c r="AD40" s="1019"/>
      <c r="AE40" s="1019"/>
      <c r="AF40" s="1019"/>
      <c r="AG40" s="1019"/>
      <c r="AH40" s="1019"/>
      <c r="AM40" s="166" t="str">
        <f>IF(AS40&gt;2,"E3",IF(AV40&lt;&gt;0,"E2",IF(AND(AP40&gt;12,AS40&lt;&gt;2),"E1","○")))</f>
        <v>○</v>
      </c>
      <c r="AO40" s="182" t="s">
        <v>418</v>
      </c>
      <c r="AP40" s="166">
        <f>COUNTIF(②選手登録名簿!AQ22:AQ39,1)</f>
        <v>0</v>
      </c>
      <c r="AR40" s="182" t="s">
        <v>419</v>
      </c>
      <c r="AS40" s="166">
        <f>②選手登録名簿!BJ21</f>
        <v>0</v>
      </c>
      <c r="AU40" s="182" t="s">
        <v>421</v>
      </c>
      <c r="AV40" s="166">
        <f>②選手登録名簿!BK21</f>
        <v>0</v>
      </c>
    </row>
    <row r="41" spans="4:48" x14ac:dyDescent="0.15">
      <c r="AM41" s="166" t="s">
        <v>422</v>
      </c>
    </row>
    <row r="42" spans="4:48" ht="24" x14ac:dyDescent="0.25">
      <c r="AK42" s="312" t="s">
        <v>122</v>
      </c>
      <c r="AM42" s="166" t="s">
        <v>429</v>
      </c>
    </row>
    <row r="43" spans="4:48" x14ac:dyDescent="0.15">
      <c r="AM43" s="166" t="s">
        <v>428</v>
      </c>
    </row>
    <row r="44" spans="4:48" x14ac:dyDescent="0.15">
      <c r="AM44" s="166" t="str">
        <f>AS40&amp;" 名のリベロプレーヤーが指定されました"</f>
        <v>0 名のリベロプレーヤーが指定されました</v>
      </c>
    </row>
    <row r="45" spans="4:48" x14ac:dyDescent="0.15">
      <c r="AM45" s="166" t="s">
        <v>427</v>
      </c>
    </row>
  </sheetData>
  <sheetProtection password="FFBB" sheet="1" objects="1" scenarios="1"/>
  <mergeCells count="34">
    <mergeCell ref="D37:J37"/>
    <mergeCell ref="K37:AH37"/>
    <mergeCell ref="D38:J38"/>
    <mergeCell ref="D35:J35"/>
    <mergeCell ref="K38:AH38"/>
    <mergeCell ref="K35:AH35"/>
    <mergeCell ref="D36:J36"/>
    <mergeCell ref="K36:AH36"/>
    <mergeCell ref="D34:J34"/>
    <mergeCell ref="K34:AH34"/>
    <mergeCell ref="K14:AH14"/>
    <mergeCell ref="K15:AH15"/>
    <mergeCell ref="E14:J14"/>
    <mergeCell ref="K10:AH10"/>
    <mergeCell ref="K11:AH11"/>
    <mergeCell ref="K12:AH12"/>
    <mergeCell ref="K13:AH13"/>
    <mergeCell ref="D15:J15"/>
    <mergeCell ref="K40:AH40"/>
    <mergeCell ref="D40:J40"/>
    <mergeCell ref="B1:AJ1"/>
    <mergeCell ref="E2:AG2"/>
    <mergeCell ref="D6:J6"/>
    <mergeCell ref="K6:AH6"/>
    <mergeCell ref="D7:J7"/>
    <mergeCell ref="D8:J8"/>
    <mergeCell ref="K7:AH7"/>
    <mergeCell ref="K8:AH8"/>
    <mergeCell ref="K9:AH9"/>
    <mergeCell ref="D9:J9"/>
    <mergeCell ref="E10:J10"/>
    <mergeCell ref="E11:J11"/>
    <mergeCell ref="E12:J12"/>
    <mergeCell ref="E13:J13"/>
  </mergeCells>
  <phoneticPr fontId="1"/>
  <conditionalFormatting sqref="K7:AH8 K10:AH14">
    <cfRule type="cellIs" dxfId="11" priority="13" stopIfTrue="1" operator="notEqual">
      <formula>"入力済み"</formula>
    </cfRule>
  </conditionalFormatting>
  <conditionalFormatting sqref="K7:AH8 K10:AH15">
    <cfRule type="cellIs" dxfId="10" priority="14" stopIfTrue="1" operator="equal">
      <formula>"入力済み"</formula>
    </cfRule>
  </conditionalFormatting>
  <conditionalFormatting sqref="K15:AH15">
    <cfRule type="cellIs" dxfId="9" priority="12" stopIfTrue="1" operator="notEqual">
      <formula>"入力済み"</formula>
    </cfRule>
  </conditionalFormatting>
  <conditionalFormatting sqref="K35:AH35">
    <cfRule type="cellIs" dxfId="8" priority="10" stopIfTrue="1" operator="equal">
      <formula>"重複はありません"</formula>
    </cfRule>
    <cfRule type="cellIs" dxfId="7" priority="11" stopIfTrue="1" operator="notEqual">
      <formula>"重複はありません"</formula>
    </cfRule>
  </conditionalFormatting>
  <conditionalFormatting sqref="K35:AH36">
    <cfRule type="cellIs" dxfId="6" priority="8" stopIfTrue="1" operator="equal">
      <formula>""</formula>
    </cfRule>
  </conditionalFormatting>
  <conditionalFormatting sqref="K36:AH36">
    <cfRule type="cellIs" dxfId="5" priority="6" stopIfTrue="1" operator="equal">
      <formula>"重複している選手名があります"</formula>
    </cfRule>
    <cfRule type="cellIs" dxfId="4" priority="7" stopIfTrue="1" operator="equal">
      <formula>"重複はありません"</formula>
    </cfRule>
  </conditionalFormatting>
  <conditionalFormatting sqref="K37:AH37">
    <cfRule type="cellIs" dxfId="3" priority="2" stopIfTrue="1" operator="notEqual">
      <formula>"問題はありません"</formula>
    </cfRule>
  </conditionalFormatting>
  <conditionalFormatting sqref="K38:AH38">
    <cfRule type="cellIs" dxfId="2" priority="4" stopIfTrue="1" operator="notEqual">
      <formula>"指定されました"</formula>
    </cfRule>
    <cfRule type="cellIs" dxfId="1" priority="5" stopIfTrue="1" operator="equal">
      <formula>"指定されました"</formula>
    </cfRule>
  </conditionalFormatting>
  <conditionalFormatting sqref="K40:AH40">
    <cfRule type="expression" dxfId="0" priority="1" stopIfTrue="1">
      <formula>AM40&lt;&gt;"○"</formula>
    </cfRule>
  </conditionalFormatting>
  <pageMargins left="0.70866141732283472" right="0.31496062992125984" top="0.35433070866141736" bottom="0.35433070866141736" header="0.31496062992125984" footer="0.31496062992125984"/>
  <pageSetup paperSize="9" orientation="portrait" r:id="rId1"/>
  <ignoredErrors>
    <ignoredError sqref="K1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1:AV29"/>
  <sheetViews>
    <sheetView zoomScaleNormal="100" zoomScaleSheetLayoutView="100" workbookViewId="0">
      <selection activeCell="B1" sqref="B1:AJ1"/>
    </sheetView>
  </sheetViews>
  <sheetFormatPr defaultColWidth="5.375" defaultRowHeight="14.25" x14ac:dyDescent="0.15"/>
  <cols>
    <col min="1" max="1" width="4" style="166" customWidth="1"/>
    <col min="2" max="35" width="2.625" style="166" customWidth="1"/>
    <col min="36" max="36" width="4.25" style="166" customWidth="1"/>
    <col min="37" max="40" width="6.625" style="166" customWidth="1"/>
    <col min="41" max="41" width="6.625" style="166" hidden="1" customWidth="1"/>
    <col min="42" max="42" width="13.875" style="166" hidden="1" customWidth="1"/>
    <col min="43" max="43" width="18.875" style="166" hidden="1" customWidth="1"/>
    <col min="44" max="44" width="21.75" style="166" hidden="1" customWidth="1"/>
    <col min="45" max="45" width="16.75" style="166" hidden="1" customWidth="1"/>
    <col min="46" max="46" width="14.375" style="166" hidden="1" customWidth="1"/>
    <col min="47" max="48" width="6.625" style="166" hidden="1" customWidth="1"/>
    <col min="49" max="254" width="6.625" style="166" customWidth="1"/>
    <col min="255" max="255" width="2.125" style="166" customWidth="1"/>
    <col min="256" max="16384" width="5.375" style="166"/>
  </cols>
  <sheetData>
    <row r="1" spans="2:47" ht="30.75" customHeight="1" x14ac:dyDescent="0.15">
      <c r="B1" s="1055" t="str">
        <f>①大会参加申込書!B1</f>
        <v>第２５回ジャパンデフバレーボールカップ　川崎大会</v>
      </c>
      <c r="C1" s="1055"/>
      <c r="D1" s="1055"/>
      <c r="E1" s="1055"/>
      <c r="F1" s="1055"/>
      <c r="G1" s="1055"/>
      <c r="H1" s="1055"/>
      <c r="I1" s="1055"/>
      <c r="J1" s="1055"/>
      <c r="K1" s="1055"/>
      <c r="L1" s="1055"/>
      <c r="M1" s="1055"/>
      <c r="N1" s="1055"/>
      <c r="O1" s="1055"/>
      <c r="P1" s="1055"/>
      <c r="Q1" s="1055"/>
      <c r="R1" s="1055"/>
      <c r="S1" s="1055"/>
      <c r="T1" s="1055"/>
      <c r="U1" s="1055"/>
      <c r="V1" s="1055"/>
      <c r="W1" s="1055"/>
      <c r="X1" s="1055"/>
      <c r="Y1" s="1055"/>
      <c r="Z1" s="1055"/>
      <c r="AA1" s="1055"/>
      <c r="AB1" s="1055"/>
      <c r="AC1" s="1055"/>
      <c r="AD1" s="1055"/>
      <c r="AE1" s="1055"/>
      <c r="AF1" s="1055"/>
      <c r="AG1" s="1055"/>
      <c r="AH1" s="1055"/>
      <c r="AI1" s="1055"/>
      <c r="AJ1" s="1055"/>
    </row>
    <row r="2" spans="2:47" ht="30" customHeight="1" x14ac:dyDescent="0.15">
      <c r="E2" s="890" t="s">
        <v>305</v>
      </c>
      <c r="F2" s="890"/>
      <c r="G2" s="890"/>
      <c r="H2" s="890"/>
      <c r="I2" s="890"/>
      <c r="J2" s="890"/>
      <c r="K2" s="890"/>
      <c r="L2" s="890"/>
      <c r="M2" s="890"/>
      <c r="N2" s="890"/>
      <c r="O2" s="890"/>
      <c r="P2" s="890"/>
      <c r="Q2" s="890"/>
      <c r="R2" s="890"/>
      <c r="S2" s="890"/>
      <c r="T2" s="890"/>
      <c r="U2" s="890"/>
      <c r="V2" s="890"/>
      <c r="W2" s="890"/>
      <c r="X2" s="890"/>
      <c r="Y2" s="890"/>
      <c r="Z2" s="890"/>
      <c r="AA2" s="890"/>
      <c r="AB2" s="890"/>
      <c r="AC2" s="890"/>
      <c r="AD2" s="890"/>
      <c r="AE2" s="890"/>
      <c r="AF2" s="890"/>
      <c r="AG2" s="890"/>
    </row>
    <row r="3" spans="2:47" ht="28.5" customHeight="1" x14ac:dyDescent="0.15">
      <c r="B3" s="1046" t="s">
        <v>218</v>
      </c>
      <c r="C3" s="1046"/>
      <c r="D3" s="1046"/>
      <c r="E3" s="1046"/>
      <c r="F3" s="1046"/>
      <c r="G3" s="1047" t="str">
        <f>IF(ISBLANK(①大会参加申込書!D6),"",①大会参加申込書!D6)</f>
        <v/>
      </c>
      <c r="H3" s="1047"/>
      <c r="I3" s="1047"/>
      <c r="J3" s="1047"/>
      <c r="K3" s="1047"/>
      <c r="L3" s="1047"/>
      <c r="M3" s="1047"/>
      <c r="N3" s="1047"/>
      <c r="O3" s="1047"/>
      <c r="P3" s="1047"/>
      <c r="Q3" s="1047"/>
      <c r="R3" s="1047"/>
      <c r="S3" s="1047"/>
      <c r="T3" s="1047"/>
      <c r="U3" s="1047"/>
      <c r="V3" s="1047"/>
      <c r="W3" s="1047"/>
      <c r="X3" s="1047"/>
      <c r="Y3" s="1047"/>
      <c r="Z3" s="1047"/>
      <c r="AA3" s="1047"/>
      <c r="AB3" s="1047"/>
      <c r="AC3" s="1047"/>
      <c r="AD3" s="1047"/>
      <c r="AE3" s="1047"/>
      <c r="AF3" s="1047"/>
      <c r="AG3" s="1047"/>
      <c r="AH3" s="1047"/>
      <c r="AI3" s="1047"/>
      <c r="AJ3" s="174"/>
      <c r="AK3" s="174"/>
    </row>
    <row r="4" spans="2:47" ht="36.75" customHeight="1" x14ac:dyDescent="0.15">
      <c r="C4" s="166" t="s">
        <v>537</v>
      </c>
    </row>
    <row r="5" spans="2:47" ht="20.100000000000001" customHeight="1" x14ac:dyDescent="0.15">
      <c r="B5" s="1051" t="s">
        <v>312</v>
      </c>
      <c r="C5" s="1051"/>
      <c r="D5" s="1051"/>
      <c r="E5" s="1051"/>
      <c r="F5" s="1051"/>
      <c r="G5" s="1051"/>
      <c r="H5" s="1051"/>
      <c r="I5" s="1051"/>
      <c r="J5" s="1051" t="s">
        <v>313</v>
      </c>
      <c r="K5" s="1051"/>
      <c r="L5" s="1051"/>
      <c r="M5" s="1051"/>
      <c r="N5" s="1051"/>
      <c r="O5" s="1051"/>
      <c r="P5" s="1051"/>
      <c r="Q5" s="1051"/>
      <c r="R5" s="1056" t="s">
        <v>311</v>
      </c>
      <c r="S5" s="1051"/>
      <c r="T5" s="1051"/>
      <c r="U5" s="1051"/>
      <c r="V5" s="1051"/>
      <c r="W5" s="1051"/>
      <c r="X5" s="1051"/>
      <c r="Y5" s="1051" t="s">
        <v>217</v>
      </c>
      <c r="Z5" s="1051"/>
      <c r="AA5" s="1051"/>
      <c r="AB5" s="1056" t="s">
        <v>467</v>
      </c>
      <c r="AC5" s="1051"/>
      <c r="AD5" s="1051"/>
      <c r="AE5" s="1051"/>
      <c r="AF5" s="1051"/>
      <c r="AG5" s="1051"/>
      <c r="AH5" s="1051"/>
      <c r="AI5" s="1051"/>
      <c r="AJ5" s="1051"/>
      <c r="AP5" s="166" t="s">
        <v>216</v>
      </c>
      <c r="AQ5" s="166" t="s">
        <v>222</v>
      </c>
      <c r="AR5" s="166" t="s">
        <v>215</v>
      </c>
      <c r="AS5" s="166" t="s">
        <v>310</v>
      </c>
      <c r="AT5" s="166" t="s">
        <v>311</v>
      </c>
      <c r="AU5" s="166" t="s">
        <v>217</v>
      </c>
    </row>
    <row r="6" spans="2:47" ht="20.100000000000001" customHeight="1" x14ac:dyDescent="0.15">
      <c r="B6" s="1051"/>
      <c r="C6" s="1051"/>
      <c r="D6" s="1051"/>
      <c r="E6" s="1051"/>
      <c r="F6" s="1051"/>
      <c r="G6" s="1051"/>
      <c r="H6" s="1051"/>
      <c r="I6" s="1051"/>
      <c r="J6" s="1051"/>
      <c r="K6" s="1051"/>
      <c r="L6" s="1051"/>
      <c r="M6" s="1051"/>
      <c r="N6" s="1051"/>
      <c r="O6" s="1051"/>
      <c r="P6" s="1051"/>
      <c r="Q6" s="1051"/>
      <c r="R6" s="1051"/>
      <c r="S6" s="1051"/>
      <c r="T6" s="1051"/>
      <c r="U6" s="1051"/>
      <c r="V6" s="1051"/>
      <c r="W6" s="1051"/>
      <c r="X6" s="1051"/>
      <c r="Y6" s="1051"/>
      <c r="Z6" s="1051"/>
      <c r="AA6" s="1051"/>
      <c r="AB6" s="1051"/>
      <c r="AC6" s="1051"/>
      <c r="AD6" s="1051"/>
      <c r="AE6" s="1051"/>
      <c r="AF6" s="1051"/>
      <c r="AG6" s="1051"/>
      <c r="AH6" s="1051"/>
      <c r="AI6" s="1051"/>
      <c r="AJ6" s="1051"/>
      <c r="AP6" s="175">
        <v>42095</v>
      </c>
    </row>
    <row r="7" spans="2:47" ht="24" hidden="1" customHeight="1" x14ac:dyDescent="0.15">
      <c r="B7" s="1048" t="s">
        <v>219</v>
      </c>
      <c r="C7" s="1048"/>
      <c r="D7" s="1048"/>
      <c r="E7" s="1048"/>
      <c r="F7" s="1048"/>
      <c r="G7" s="1048"/>
      <c r="H7" s="1048"/>
      <c r="I7" s="1048"/>
      <c r="J7" s="1048" t="s">
        <v>220</v>
      </c>
      <c r="K7" s="1048"/>
      <c r="L7" s="1048"/>
      <c r="M7" s="1048"/>
      <c r="N7" s="1048"/>
      <c r="O7" s="1048"/>
      <c r="P7" s="1048"/>
      <c r="Q7" s="1048"/>
      <c r="R7" s="1057">
        <v>31172</v>
      </c>
      <c r="S7" s="1057"/>
      <c r="T7" s="1057"/>
      <c r="U7" s="1057"/>
      <c r="V7" s="1057"/>
      <c r="W7" s="1057"/>
      <c r="X7" s="1057"/>
      <c r="Y7" s="1051" t="str">
        <f>IF(ISBLANK(R7),"",DATEDIF(R7,$AP$6,"Y") &amp; " 歳")</f>
        <v>29 歳</v>
      </c>
      <c r="Z7" s="1051"/>
      <c r="AA7" s="1051"/>
      <c r="AB7" s="1049" t="s">
        <v>221</v>
      </c>
      <c r="AC7" s="1049"/>
      <c r="AD7" s="1049"/>
      <c r="AE7" s="1049"/>
      <c r="AF7" s="1049"/>
      <c r="AG7" s="1049"/>
      <c r="AH7" s="1049"/>
      <c r="AI7" s="1049"/>
      <c r="AJ7" s="1049"/>
    </row>
    <row r="8" spans="2:47" ht="24" customHeight="1" x14ac:dyDescent="0.15">
      <c r="B8" s="1050" t="str">
        <f>IF(COUNT($AQ$8:$AQ$25)&lt;ROW(A1),"",INDEX($AR$8:$AR$25,SMALL($AQ$8:$AQ$25,ROW(A1))-ROW($A$8)+1))</f>
        <v/>
      </c>
      <c r="C8" s="1050"/>
      <c r="D8" s="1050"/>
      <c r="E8" s="1050"/>
      <c r="F8" s="1050"/>
      <c r="G8" s="1050"/>
      <c r="H8" s="1050"/>
      <c r="I8" s="1050"/>
      <c r="J8" s="1050" t="str">
        <f>IF(COUNT($AQ$8:$AQ$25)&lt;ROW(A1),"",INDEX($AS$8:$AS$25,SMALL($AQ$8:$AQ$25,ROW(A1))-ROW($A$8)+1))</f>
        <v/>
      </c>
      <c r="K8" s="1050"/>
      <c r="L8" s="1050"/>
      <c r="M8" s="1050"/>
      <c r="N8" s="1050"/>
      <c r="O8" s="1050"/>
      <c r="P8" s="1050"/>
      <c r="Q8" s="1050"/>
      <c r="R8" s="1052" t="str">
        <f>IF(COUNT($AQ$8:$AQ$25)&lt;ROW(A1),"",INDEX($AT$8:$AT$25,SMALL($AQ$8:$AQ$25,ROW(A1))-ROW($A$8)+1))</f>
        <v/>
      </c>
      <c r="S8" s="1052"/>
      <c r="T8" s="1052"/>
      <c r="U8" s="1052"/>
      <c r="V8" s="1052"/>
      <c r="W8" s="1052"/>
      <c r="X8" s="1052"/>
      <c r="Y8" s="1053" t="str">
        <f>IF(COUNT($AQ$8:$AQ$25)&lt;ROW(A1),"",INDEX($AU$8:$AU$25,SMALL($AQ$8:$AQ$25,ROW(A1))-ROW($A$8)+1))</f>
        <v/>
      </c>
      <c r="Z8" s="1053"/>
      <c r="AA8" s="1053"/>
      <c r="AB8" s="1054"/>
      <c r="AC8" s="1054"/>
      <c r="AD8" s="1054"/>
      <c r="AE8" s="1054"/>
      <c r="AF8" s="1054"/>
      <c r="AG8" s="1054"/>
      <c r="AH8" s="1054"/>
      <c r="AI8" s="1054"/>
      <c r="AJ8" s="1054"/>
      <c r="AQ8" s="176" t="str">
        <f>IF(②選手登録名簿!T22,ROW(),"")</f>
        <v/>
      </c>
      <c r="AR8" s="176" t="str">
        <f>IF(AQ8&lt;&gt;"",②選手登録名簿!AN22,"")</f>
        <v/>
      </c>
      <c r="AS8" s="176" t="str">
        <f>IF(AQ8&lt;&gt;"",②選手登録名簿!BD22,"")</f>
        <v/>
      </c>
      <c r="AT8" s="177" t="str">
        <f>IF(AQ8&lt;&gt;"",IF(TRIM(②選手登録名簿!N22)="","",②選手登録名簿!N22),"")</f>
        <v/>
      </c>
      <c r="AU8" s="176" t="str">
        <f>IF(AQ8&lt;&gt;"",②選手登録名簿!O22,"")</f>
        <v/>
      </c>
    </row>
    <row r="9" spans="2:47" ht="24" customHeight="1" x14ac:dyDescent="0.15">
      <c r="B9" s="1042" t="str">
        <f t="shared" ref="B9:B25" si="0">IF(COUNT($AQ$8:$AQ$25)&lt;ROW(A2),"",INDEX($AR$8:$AR$25,SMALL($AQ$8:$AQ$25,ROW(A2))-ROW($A$8)+1))</f>
        <v/>
      </c>
      <c r="C9" s="1042"/>
      <c r="D9" s="1042"/>
      <c r="E9" s="1042"/>
      <c r="F9" s="1042"/>
      <c r="G9" s="1042"/>
      <c r="H9" s="1042"/>
      <c r="I9" s="1042"/>
      <c r="J9" s="1042" t="str">
        <f t="shared" ref="J9:J25" si="1">IF(COUNT($AQ$8:$AQ$25)&lt;ROW(A2),"",INDEX($AS$8:$AS$25,SMALL($AQ$8:$AQ$25,ROW(A2))-ROW($A$8)+1))</f>
        <v/>
      </c>
      <c r="K9" s="1042"/>
      <c r="L9" s="1042"/>
      <c r="M9" s="1042"/>
      <c r="N9" s="1042"/>
      <c r="O9" s="1042"/>
      <c r="P9" s="1042"/>
      <c r="Q9" s="1042"/>
      <c r="R9" s="1043" t="str">
        <f t="shared" ref="R9:R24" si="2">IF(COUNT($AQ$8:$AQ$25)&lt;ROW(A2),"",INDEX($AT$8:$AT$25,SMALL($AQ$8:$AQ$25,ROW(A2))-ROW($A$8)+1))</f>
        <v/>
      </c>
      <c r="S9" s="1043"/>
      <c r="T9" s="1043"/>
      <c r="U9" s="1043"/>
      <c r="V9" s="1043"/>
      <c r="W9" s="1043"/>
      <c r="X9" s="1043"/>
      <c r="Y9" s="1044" t="str">
        <f t="shared" ref="Y9:Y25" si="3">IF(COUNT($AQ$8:$AQ$25)&lt;ROW(A2),"",INDEX($AU$8:$AU$25,SMALL($AQ$8:$AQ$25,ROW(A2))-ROW($A$8)+1))</f>
        <v/>
      </c>
      <c r="Z9" s="1044"/>
      <c r="AA9" s="1044"/>
      <c r="AB9" s="1045"/>
      <c r="AC9" s="1045"/>
      <c r="AD9" s="1045"/>
      <c r="AE9" s="1045"/>
      <c r="AF9" s="1045"/>
      <c r="AG9" s="1045"/>
      <c r="AH9" s="1045"/>
      <c r="AI9" s="1045"/>
      <c r="AJ9" s="1045"/>
      <c r="AQ9" s="176" t="str">
        <f>IF(②選手登録名簿!T23,ROW(),"")</f>
        <v/>
      </c>
      <c r="AR9" s="176" t="str">
        <f>IF(AQ9&lt;&gt;"",②選手登録名簿!AN23,"")</f>
        <v/>
      </c>
      <c r="AS9" s="176" t="str">
        <f>IF(AQ9&lt;&gt;"",②選手登録名簿!BD23,"")</f>
        <v/>
      </c>
      <c r="AT9" s="177" t="str">
        <f>IF(AQ9&lt;&gt;"",IF(TRIM(②選手登録名簿!N23)="","",②選手登録名簿!N23),"")</f>
        <v/>
      </c>
      <c r="AU9" s="176" t="str">
        <f>IF(AQ9&lt;&gt;"",②選手登録名簿!O23,"")</f>
        <v/>
      </c>
    </row>
    <row r="10" spans="2:47" ht="24" customHeight="1" x14ac:dyDescent="0.15">
      <c r="B10" s="1042" t="str">
        <f t="shared" si="0"/>
        <v/>
      </c>
      <c r="C10" s="1042"/>
      <c r="D10" s="1042"/>
      <c r="E10" s="1042"/>
      <c r="F10" s="1042"/>
      <c r="G10" s="1042"/>
      <c r="H10" s="1042"/>
      <c r="I10" s="1042"/>
      <c r="J10" s="1042" t="str">
        <f t="shared" si="1"/>
        <v/>
      </c>
      <c r="K10" s="1042"/>
      <c r="L10" s="1042"/>
      <c r="M10" s="1042"/>
      <c r="N10" s="1042"/>
      <c r="O10" s="1042"/>
      <c r="P10" s="1042"/>
      <c r="Q10" s="1042"/>
      <c r="R10" s="1043" t="str">
        <f t="shared" si="2"/>
        <v/>
      </c>
      <c r="S10" s="1043"/>
      <c r="T10" s="1043"/>
      <c r="U10" s="1043"/>
      <c r="V10" s="1043"/>
      <c r="W10" s="1043"/>
      <c r="X10" s="1043"/>
      <c r="Y10" s="1044" t="str">
        <f t="shared" si="3"/>
        <v/>
      </c>
      <c r="Z10" s="1044"/>
      <c r="AA10" s="1044"/>
      <c r="AB10" s="1045"/>
      <c r="AC10" s="1045"/>
      <c r="AD10" s="1045"/>
      <c r="AE10" s="1045"/>
      <c r="AF10" s="1045"/>
      <c r="AG10" s="1045"/>
      <c r="AH10" s="1045"/>
      <c r="AI10" s="1045"/>
      <c r="AJ10" s="1045"/>
      <c r="AQ10" s="176" t="str">
        <f>IF(②選手登録名簿!T24,ROW(),"")</f>
        <v/>
      </c>
      <c r="AR10" s="176" t="str">
        <f>IF(AQ10&lt;&gt;"",②選手登録名簿!AN24,"")</f>
        <v/>
      </c>
      <c r="AS10" s="176" t="str">
        <f>IF(AQ10&lt;&gt;"",②選手登録名簿!BD24,"")</f>
        <v/>
      </c>
      <c r="AT10" s="177" t="str">
        <f>IF(AQ10&lt;&gt;"",IF(TRIM(②選手登録名簿!N24)="","",②選手登録名簿!N24),"")</f>
        <v/>
      </c>
      <c r="AU10" s="176" t="str">
        <f>IF(AQ10&lt;&gt;"",②選手登録名簿!O24,"")</f>
        <v/>
      </c>
    </row>
    <row r="11" spans="2:47" ht="24" customHeight="1" x14ac:dyDescent="0.15">
      <c r="B11" s="1042" t="str">
        <f t="shared" si="0"/>
        <v/>
      </c>
      <c r="C11" s="1042"/>
      <c r="D11" s="1042"/>
      <c r="E11" s="1042"/>
      <c r="F11" s="1042"/>
      <c r="G11" s="1042"/>
      <c r="H11" s="1042"/>
      <c r="I11" s="1042"/>
      <c r="J11" s="1042" t="str">
        <f t="shared" si="1"/>
        <v/>
      </c>
      <c r="K11" s="1042"/>
      <c r="L11" s="1042"/>
      <c r="M11" s="1042"/>
      <c r="N11" s="1042"/>
      <c r="O11" s="1042"/>
      <c r="P11" s="1042"/>
      <c r="Q11" s="1042"/>
      <c r="R11" s="1043" t="str">
        <f t="shared" si="2"/>
        <v/>
      </c>
      <c r="S11" s="1043"/>
      <c r="T11" s="1043"/>
      <c r="U11" s="1043"/>
      <c r="V11" s="1043"/>
      <c r="W11" s="1043"/>
      <c r="X11" s="1043"/>
      <c r="Y11" s="1044" t="str">
        <f t="shared" si="3"/>
        <v/>
      </c>
      <c r="Z11" s="1044"/>
      <c r="AA11" s="1044"/>
      <c r="AB11" s="1045"/>
      <c r="AC11" s="1045"/>
      <c r="AD11" s="1045"/>
      <c r="AE11" s="1045"/>
      <c r="AF11" s="1045"/>
      <c r="AG11" s="1045"/>
      <c r="AH11" s="1045"/>
      <c r="AI11" s="1045"/>
      <c r="AJ11" s="1045"/>
      <c r="AQ11" s="176" t="str">
        <f>IF(②選手登録名簿!T25,ROW(),"")</f>
        <v/>
      </c>
      <c r="AR11" s="176" t="str">
        <f>IF(AQ11&lt;&gt;"",②選手登録名簿!AN25,"")</f>
        <v/>
      </c>
      <c r="AS11" s="176" t="str">
        <f>IF(AQ11&lt;&gt;"",②選手登録名簿!BD25,"")</f>
        <v/>
      </c>
      <c r="AT11" s="177" t="str">
        <f>IF(AQ11&lt;&gt;"",IF(TRIM(②選手登録名簿!N25)="","",②選手登録名簿!N25),"")</f>
        <v/>
      </c>
      <c r="AU11" s="176" t="str">
        <f>IF(AQ11&lt;&gt;"",②選手登録名簿!O25,"")</f>
        <v/>
      </c>
    </row>
    <row r="12" spans="2:47" ht="24" customHeight="1" x14ac:dyDescent="0.15">
      <c r="B12" s="1042" t="str">
        <f t="shared" si="0"/>
        <v/>
      </c>
      <c r="C12" s="1042"/>
      <c r="D12" s="1042"/>
      <c r="E12" s="1042"/>
      <c r="F12" s="1042"/>
      <c r="G12" s="1042"/>
      <c r="H12" s="1042"/>
      <c r="I12" s="1042"/>
      <c r="J12" s="1042" t="str">
        <f t="shared" si="1"/>
        <v/>
      </c>
      <c r="K12" s="1042"/>
      <c r="L12" s="1042"/>
      <c r="M12" s="1042"/>
      <c r="N12" s="1042"/>
      <c r="O12" s="1042"/>
      <c r="P12" s="1042"/>
      <c r="Q12" s="1042"/>
      <c r="R12" s="1043" t="str">
        <f t="shared" si="2"/>
        <v/>
      </c>
      <c r="S12" s="1043"/>
      <c r="T12" s="1043"/>
      <c r="U12" s="1043"/>
      <c r="V12" s="1043"/>
      <c r="W12" s="1043"/>
      <c r="X12" s="1043"/>
      <c r="Y12" s="1044" t="str">
        <f t="shared" si="3"/>
        <v/>
      </c>
      <c r="Z12" s="1044"/>
      <c r="AA12" s="1044"/>
      <c r="AB12" s="1045"/>
      <c r="AC12" s="1045"/>
      <c r="AD12" s="1045"/>
      <c r="AE12" s="1045"/>
      <c r="AF12" s="1045"/>
      <c r="AG12" s="1045"/>
      <c r="AH12" s="1045"/>
      <c r="AI12" s="1045"/>
      <c r="AJ12" s="1045"/>
      <c r="AQ12" s="176" t="str">
        <f>IF(②選手登録名簿!T26,ROW(),"")</f>
        <v/>
      </c>
      <c r="AR12" s="176" t="str">
        <f>IF(AQ12&lt;&gt;"",②選手登録名簿!AN26,"")</f>
        <v/>
      </c>
      <c r="AS12" s="176" t="str">
        <f>IF(AQ12&lt;&gt;"",②選手登録名簿!BD26,"")</f>
        <v/>
      </c>
      <c r="AT12" s="177" t="str">
        <f>IF(AQ12&lt;&gt;"",IF(TRIM(②選手登録名簿!N26)="","",②選手登録名簿!N26),"")</f>
        <v/>
      </c>
      <c r="AU12" s="176" t="str">
        <f>IF(AQ12&lt;&gt;"",②選手登録名簿!O26,"")</f>
        <v/>
      </c>
    </row>
    <row r="13" spans="2:47" ht="24" customHeight="1" x14ac:dyDescent="0.15">
      <c r="B13" s="1042" t="str">
        <f t="shared" si="0"/>
        <v/>
      </c>
      <c r="C13" s="1042"/>
      <c r="D13" s="1042"/>
      <c r="E13" s="1042"/>
      <c r="F13" s="1042"/>
      <c r="G13" s="1042"/>
      <c r="H13" s="1042"/>
      <c r="I13" s="1042"/>
      <c r="J13" s="1042" t="str">
        <f t="shared" si="1"/>
        <v/>
      </c>
      <c r="K13" s="1042"/>
      <c r="L13" s="1042"/>
      <c r="M13" s="1042"/>
      <c r="N13" s="1042"/>
      <c r="O13" s="1042"/>
      <c r="P13" s="1042"/>
      <c r="Q13" s="1042"/>
      <c r="R13" s="1043" t="str">
        <f t="shared" si="2"/>
        <v/>
      </c>
      <c r="S13" s="1043"/>
      <c r="T13" s="1043"/>
      <c r="U13" s="1043"/>
      <c r="V13" s="1043"/>
      <c r="W13" s="1043"/>
      <c r="X13" s="1043"/>
      <c r="Y13" s="1044" t="str">
        <f t="shared" si="3"/>
        <v/>
      </c>
      <c r="Z13" s="1044"/>
      <c r="AA13" s="1044"/>
      <c r="AB13" s="1045"/>
      <c r="AC13" s="1045"/>
      <c r="AD13" s="1045"/>
      <c r="AE13" s="1045"/>
      <c r="AF13" s="1045"/>
      <c r="AG13" s="1045"/>
      <c r="AH13" s="1045"/>
      <c r="AI13" s="1045"/>
      <c r="AJ13" s="1045"/>
      <c r="AQ13" s="176" t="str">
        <f>IF(②選手登録名簿!T27,ROW(),"")</f>
        <v/>
      </c>
      <c r="AR13" s="176" t="str">
        <f>IF(AQ13&lt;&gt;"",②選手登録名簿!AN27,"")</f>
        <v/>
      </c>
      <c r="AS13" s="176" t="str">
        <f>IF(AQ13&lt;&gt;"",②選手登録名簿!BD27,"")</f>
        <v/>
      </c>
      <c r="AT13" s="177" t="str">
        <f>IF(AQ13&lt;&gt;"",IF(TRIM(②選手登録名簿!N27)="","",②選手登録名簿!N27),"")</f>
        <v/>
      </c>
      <c r="AU13" s="176" t="str">
        <f>IF(AQ13&lt;&gt;"",②選手登録名簿!O27,"")</f>
        <v/>
      </c>
    </row>
    <row r="14" spans="2:47" ht="24" customHeight="1" x14ac:dyDescent="0.15">
      <c r="B14" s="1042" t="str">
        <f t="shared" si="0"/>
        <v/>
      </c>
      <c r="C14" s="1042"/>
      <c r="D14" s="1042"/>
      <c r="E14" s="1042"/>
      <c r="F14" s="1042"/>
      <c r="G14" s="1042"/>
      <c r="H14" s="1042"/>
      <c r="I14" s="1042"/>
      <c r="J14" s="1042" t="str">
        <f t="shared" si="1"/>
        <v/>
      </c>
      <c r="K14" s="1042"/>
      <c r="L14" s="1042"/>
      <c r="M14" s="1042"/>
      <c r="N14" s="1042"/>
      <c r="O14" s="1042"/>
      <c r="P14" s="1042"/>
      <c r="Q14" s="1042"/>
      <c r="R14" s="1043" t="str">
        <f t="shared" si="2"/>
        <v/>
      </c>
      <c r="S14" s="1043"/>
      <c r="T14" s="1043"/>
      <c r="U14" s="1043"/>
      <c r="V14" s="1043"/>
      <c r="W14" s="1043"/>
      <c r="X14" s="1043"/>
      <c r="Y14" s="1044" t="str">
        <f t="shared" si="3"/>
        <v/>
      </c>
      <c r="Z14" s="1044"/>
      <c r="AA14" s="1044"/>
      <c r="AB14" s="1045"/>
      <c r="AC14" s="1045"/>
      <c r="AD14" s="1045"/>
      <c r="AE14" s="1045"/>
      <c r="AF14" s="1045"/>
      <c r="AG14" s="1045"/>
      <c r="AH14" s="1045"/>
      <c r="AI14" s="1045"/>
      <c r="AJ14" s="1045"/>
      <c r="AQ14" s="176" t="str">
        <f>IF(②選手登録名簿!T28,ROW(),"")</f>
        <v/>
      </c>
      <c r="AR14" s="176" t="str">
        <f>IF(AQ14&lt;&gt;"",②選手登録名簿!AN28,"")</f>
        <v/>
      </c>
      <c r="AS14" s="176" t="str">
        <f>IF(AQ14&lt;&gt;"",②選手登録名簿!BD28,"")</f>
        <v/>
      </c>
      <c r="AT14" s="177" t="str">
        <f>IF(AQ14&lt;&gt;"",IF(TRIM(②選手登録名簿!N28)="","",②選手登録名簿!N28),"")</f>
        <v/>
      </c>
      <c r="AU14" s="176" t="str">
        <f>IF(AQ14&lt;&gt;"",②選手登録名簿!O28,"")</f>
        <v/>
      </c>
    </row>
    <row r="15" spans="2:47" ht="24" customHeight="1" x14ac:dyDescent="0.15">
      <c r="B15" s="1042" t="str">
        <f t="shared" si="0"/>
        <v/>
      </c>
      <c r="C15" s="1042"/>
      <c r="D15" s="1042"/>
      <c r="E15" s="1042"/>
      <c r="F15" s="1042"/>
      <c r="G15" s="1042"/>
      <c r="H15" s="1042"/>
      <c r="I15" s="1042"/>
      <c r="J15" s="1042" t="str">
        <f t="shared" si="1"/>
        <v/>
      </c>
      <c r="K15" s="1042"/>
      <c r="L15" s="1042"/>
      <c r="M15" s="1042"/>
      <c r="N15" s="1042"/>
      <c r="O15" s="1042"/>
      <c r="P15" s="1042"/>
      <c r="Q15" s="1042"/>
      <c r="R15" s="1043" t="str">
        <f t="shared" si="2"/>
        <v/>
      </c>
      <c r="S15" s="1043"/>
      <c r="T15" s="1043"/>
      <c r="U15" s="1043"/>
      <c r="V15" s="1043"/>
      <c r="W15" s="1043"/>
      <c r="X15" s="1043"/>
      <c r="Y15" s="1044" t="str">
        <f t="shared" si="3"/>
        <v/>
      </c>
      <c r="Z15" s="1044"/>
      <c r="AA15" s="1044"/>
      <c r="AB15" s="1045"/>
      <c r="AC15" s="1045"/>
      <c r="AD15" s="1045"/>
      <c r="AE15" s="1045"/>
      <c r="AF15" s="1045"/>
      <c r="AG15" s="1045"/>
      <c r="AH15" s="1045"/>
      <c r="AI15" s="1045"/>
      <c r="AJ15" s="1045"/>
      <c r="AQ15" s="176" t="str">
        <f>IF(②選手登録名簿!T29,ROW(),"")</f>
        <v/>
      </c>
      <c r="AR15" s="176" t="str">
        <f>IF(AQ15&lt;&gt;"",②選手登録名簿!AN29,"")</f>
        <v/>
      </c>
      <c r="AS15" s="176" t="str">
        <f>IF(AQ15&lt;&gt;"",②選手登録名簿!BD29,"")</f>
        <v/>
      </c>
      <c r="AT15" s="177" t="str">
        <f>IF(AQ15&lt;&gt;"",IF(TRIM(②選手登録名簿!N29)="","",②選手登録名簿!N29),"")</f>
        <v/>
      </c>
      <c r="AU15" s="176" t="str">
        <f>IF(AQ15&lt;&gt;"",②選手登録名簿!O29,"")</f>
        <v/>
      </c>
    </row>
    <row r="16" spans="2:47" ht="24" customHeight="1" x14ac:dyDescent="0.15">
      <c r="B16" s="1042" t="str">
        <f t="shared" si="0"/>
        <v/>
      </c>
      <c r="C16" s="1042"/>
      <c r="D16" s="1042"/>
      <c r="E16" s="1042"/>
      <c r="F16" s="1042"/>
      <c r="G16" s="1042"/>
      <c r="H16" s="1042"/>
      <c r="I16" s="1042"/>
      <c r="J16" s="1042" t="str">
        <f t="shared" si="1"/>
        <v/>
      </c>
      <c r="K16" s="1042"/>
      <c r="L16" s="1042"/>
      <c r="M16" s="1042"/>
      <c r="N16" s="1042"/>
      <c r="O16" s="1042"/>
      <c r="P16" s="1042"/>
      <c r="Q16" s="1042"/>
      <c r="R16" s="1043" t="str">
        <f t="shared" si="2"/>
        <v/>
      </c>
      <c r="S16" s="1043"/>
      <c r="T16" s="1043"/>
      <c r="U16" s="1043"/>
      <c r="V16" s="1043"/>
      <c r="W16" s="1043"/>
      <c r="X16" s="1043"/>
      <c r="Y16" s="1044" t="str">
        <f t="shared" si="3"/>
        <v/>
      </c>
      <c r="Z16" s="1044"/>
      <c r="AA16" s="1044"/>
      <c r="AB16" s="1045"/>
      <c r="AC16" s="1045"/>
      <c r="AD16" s="1045"/>
      <c r="AE16" s="1045"/>
      <c r="AF16" s="1045"/>
      <c r="AG16" s="1045"/>
      <c r="AH16" s="1045"/>
      <c r="AI16" s="1045"/>
      <c r="AJ16" s="1045"/>
      <c r="AQ16" s="176" t="str">
        <f>IF(②選手登録名簿!T30,ROW(),"")</f>
        <v/>
      </c>
      <c r="AR16" s="176" t="str">
        <f>IF(AQ16&lt;&gt;"",②選手登録名簿!AN30,"")</f>
        <v/>
      </c>
      <c r="AS16" s="176" t="str">
        <f>IF(AQ16&lt;&gt;"",②選手登録名簿!BD30,"")</f>
        <v/>
      </c>
      <c r="AT16" s="177" t="str">
        <f>IF(AQ16&lt;&gt;"",IF(TRIM(②選手登録名簿!N30)="","",②選手登録名簿!N30),"")</f>
        <v/>
      </c>
      <c r="AU16" s="176" t="str">
        <f>IF(AQ16&lt;&gt;"",②選手登録名簿!O30,"")</f>
        <v/>
      </c>
    </row>
    <row r="17" spans="2:47" ht="24" customHeight="1" x14ac:dyDescent="0.15">
      <c r="B17" s="1042" t="str">
        <f t="shared" si="0"/>
        <v/>
      </c>
      <c r="C17" s="1042"/>
      <c r="D17" s="1042"/>
      <c r="E17" s="1042"/>
      <c r="F17" s="1042"/>
      <c r="G17" s="1042"/>
      <c r="H17" s="1042"/>
      <c r="I17" s="1042"/>
      <c r="J17" s="1042" t="str">
        <f t="shared" si="1"/>
        <v/>
      </c>
      <c r="K17" s="1042"/>
      <c r="L17" s="1042"/>
      <c r="M17" s="1042"/>
      <c r="N17" s="1042"/>
      <c r="O17" s="1042"/>
      <c r="P17" s="1042"/>
      <c r="Q17" s="1042"/>
      <c r="R17" s="1043" t="str">
        <f t="shared" si="2"/>
        <v/>
      </c>
      <c r="S17" s="1043"/>
      <c r="T17" s="1043"/>
      <c r="U17" s="1043"/>
      <c r="V17" s="1043"/>
      <c r="W17" s="1043"/>
      <c r="X17" s="1043"/>
      <c r="Y17" s="1044" t="str">
        <f t="shared" si="3"/>
        <v/>
      </c>
      <c r="Z17" s="1044"/>
      <c r="AA17" s="1044"/>
      <c r="AB17" s="1045"/>
      <c r="AC17" s="1045"/>
      <c r="AD17" s="1045"/>
      <c r="AE17" s="1045"/>
      <c r="AF17" s="1045"/>
      <c r="AG17" s="1045"/>
      <c r="AH17" s="1045"/>
      <c r="AI17" s="1045"/>
      <c r="AJ17" s="1045"/>
      <c r="AQ17" s="176" t="str">
        <f>IF(②選手登録名簿!T31,ROW(),"")</f>
        <v/>
      </c>
      <c r="AR17" s="176" t="str">
        <f>IF(AQ17&lt;&gt;"",②選手登録名簿!AN31,"")</f>
        <v/>
      </c>
      <c r="AS17" s="176" t="str">
        <f>IF(AQ17&lt;&gt;"",②選手登録名簿!BD31,"")</f>
        <v/>
      </c>
      <c r="AT17" s="177" t="str">
        <f>IF(AQ17&lt;&gt;"",IF(TRIM(②選手登録名簿!N31)="","",②選手登録名簿!N31),"")</f>
        <v/>
      </c>
      <c r="AU17" s="176" t="str">
        <f>IF(AQ17&lt;&gt;"",②選手登録名簿!O31,"")</f>
        <v/>
      </c>
    </row>
    <row r="18" spans="2:47" ht="24" customHeight="1" x14ac:dyDescent="0.15">
      <c r="B18" s="1042" t="str">
        <f t="shared" si="0"/>
        <v/>
      </c>
      <c r="C18" s="1042"/>
      <c r="D18" s="1042"/>
      <c r="E18" s="1042"/>
      <c r="F18" s="1042"/>
      <c r="G18" s="1042"/>
      <c r="H18" s="1042"/>
      <c r="I18" s="1042"/>
      <c r="J18" s="1042" t="str">
        <f t="shared" si="1"/>
        <v/>
      </c>
      <c r="K18" s="1042"/>
      <c r="L18" s="1042"/>
      <c r="M18" s="1042"/>
      <c r="N18" s="1042"/>
      <c r="O18" s="1042"/>
      <c r="P18" s="1042"/>
      <c r="Q18" s="1042"/>
      <c r="R18" s="1043" t="str">
        <f t="shared" si="2"/>
        <v/>
      </c>
      <c r="S18" s="1043"/>
      <c r="T18" s="1043"/>
      <c r="U18" s="1043"/>
      <c r="V18" s="1043"/>
      <c r="W18" s="1043"/>
      <c r="X18" s="1043"/>
      <c r="Y18" s="1044" t="str">
        <f t="shared" si="3"/>
        <v/>
      </c>
      <c r="Z18" s="1044"/>
      <c r="AA18" s="1044"/>
      <c r="AB18" s="1045"/>
      <c r="AC18" s="1045"/>
      <c r="AD18" s="1045"/>
      <c r="AE18" s="1045"/>
      <c r="AF18" s="1045"/>
      <c r="AG18" s="1045"/>
      <c r="AH18" s="1045"/>
      <c r="AI18" s="1045"/>
      <c r="AJ18" s="1045"/>
      <c r="AQ18" s="176" t="str">
        <f>IF(②選手登録名簿!T32,ROW(),"")</f>
        <v/>
      </c>
      <c r="AR18" s="176" t="str">
        <f>IF(AQ18&lt;&gt;"",②選手登録名簿!AN32,"")</f>
        <v/>
      </c>
      <c r="AS18" s="176" t="str">
        <f>IF(AQ18&lt;&gt;"",②選手登録名簿!BD32,"")</f>
        <v/>
      </c>
      <c r="AT18" s="177" t="str">
        <f>IF(AQ18&lt;&gt;"",IF(TRIM(②選手登録名簿!N32)="","",②選手登録名簿!N32),"")</f>
        <v/>
      </c>
      <c r="AU18" s="176" t="str">
        <f>IF(AQ18&lt;&gt;"",②選手登録名簿!O32,"")</f>
        <v/>
      </c>
    </row>
    <row r="19" spans="2:47" ht="24" customHeight="1" x14ac:dyDescent="0.15">
      <c r="B19" s="1042" t="str">
        <f t="shared" si="0"/>
        <v/>
      </c>
      <c r="C19" s="1042"/>
      <c r="D19" s="1042"/>
      <c r="E19" s="1042"/>
      <c r="F19" s="1042"/>
      <c r="G19" s="1042"/>
      <c r="H19" s="1042"/>
      <c r="I19" s="1042"/>
      <c r="J19" s="1042" t="str">
        <f t="shared" si="1"/>
        <v/>
      </c>
      <c r="K19" s="1042"/>
      <c r="L19" s="1042"/>
      <c r="M19" s="1042"/>
      <c r="N19" s="1042"/>
      <c r="O19" s="1042"/>
      <c r="P19" s="1042"/>
      <c r="Q19" s="1042"/>
      <c r="R19" s="1043" t="str">
        <f t="shared" si="2"/>
        <v/>
      </c>
      <c r="S19" s="1043"/>
      <c r="T19" s="1043"/>
      <c r="U19" s="1043"/>
      <c r="V19" s="1043"/>
      <c r="W19" s="1043"/>
      <c r="X19" s="1043"/>
      <c r="Y19" s="1044" t="str">
        <f t="shared" si="3"/>
        <v/>
      </c>
      <c r="Z19" s="1044"/>
      <c r="AA19" s="1044"/>
      <c r="AB19" s="1045"/>
      <c r="AC19" s="1045"/>
      <c r="AD19" s="1045"/>
      <c r="AE19" s="1045"/>
      <c r="AF19" s="1045"/>
      <c r="AG19" s="1045"/>
      <c r="AH19" s="1045"/>
      <c r="AI19" s="1045"/>
      <c r="AJ19" s="1045"/>
      <c r="AQ19" s="176" t="str">
        <f>IF(②選手登録名簿!T33,ROW(),"")</f>
        <v/>
      </c>
      <c r="AR19" s="176" t="str">
        <f>IF(AQ19&lt;&gt;"",②選手登録名簿!AN33,"")</f>
        <v/>
      </c>
      <c r="AS19" s="176" t="str">
        <f>IF(AQ19&lt;&gt;"",②選手登録名簿!BD33,"")</f>
        <v/>
      </c>
      <c r="AT19" s="177" t="str">
        <f>IF(AQ19&lt;&gt;"",IF(TRIM(②選手登録名簿!N33)="","",②選手登録名簿!N33),"")</f>
        <v/>
      </c>
      <c r="AU19" s="176" t="str">
        <f>IF(AQ19&lt;&gt;"",②選手登録名簿!O33,"")</f>
        <v/>
      </c>
    </row>
    <row r="20" spans="2:47" ht="24" customHeight="1" x14ac:dyDescent="0.15">
      <c r="B20" s="1042" t="str">
        <f t="shared" si="0"/>
        <v/>
      </c>
      <c r="C20" s="1042"/>
      <c r="D20" s="1042"/>
      <c r="E20" s="1042"/>
      <c r="F20" s="1042"/>
      <c r="G20" s="1042"/>
      <c r="H20" s="1042"/>
      <c r="I20" s="1042"/>
      <c r="J20" s="1042" t="str">
        <f t="shared" si="1"/>
        <v/>
      </c>
      <c r="K20" s="1042"/>
      <c r="L20" s="1042"/>
      <c r="M20" s="1042"/>
      <c r="N20" s="1042"/>
      <c r="O20" s="1042"/>
      <c r="P20" s="1042"/>
      <c r="Q20" s="1042"/>
      <c r="R20" s="1043" t="str">
        <f t="shared" si="2"/>
        <v/>
      </c>
      <c r="S20" s="1043"/>
      <c r="T20" s="1043"/>
      <c r="U20" s="1043"/>
      <c r="V20" s="1043"/>
      <c r="W20" s="1043"/>
      <c r="X20" s="1043"/>
      <c r="Y20" s="1044" t="str">
        <f t="shared" si="3"/>
        <v/>
      </c>
      <c r="Z20" s="1044"/>
      <c r="AA20" s="1044"/>
      <c r="AB20" s="1045"/>
      <c r="AC20" s="1045"/>
      <c r="AD20" s="1045"/>
      <c r="AE20" s="1045"/>
      <c r="AF20" s="1045"/>
      <c r="AG20" s="1045"/>
      <c r="AH20" s="1045"/>
      <c r="AI20" s="1045"/>
      <c r="AJ20" s="1045"/>
      <c r="AQ20" s="176" t="str">
        <f>IF(②選手登録名簿!T34,ROW(),"")</f>
        <v/>
      </c>
      <c r="AR20" s="176" t="str">
        <f>IF(AQ20&lt;&gt;"",②選手登録名簿!AN34,"")</f>
        <v/>
      </c>
      <c r="AS20" s="176" t="str">
        <f>IF(AQ20&lt;&gt;"",②選手登録名簿!BD34,"")</f>
        <v/>
      </c>
      <c r="AT20" s="177" t="str">
        <f>IF(AQ20&lt;&gt;"",IF(TRIM(②選手登録名簿!N34)="","",②選手登録名簿!N34),"")</f>
        <v/>
      </c>
      <c r="AU20" s="176" t="str">
        <f>IF(AQ20&lt;&gt;"",②選手登録名簿!O34,"")</f>
        <v/>
      </c>
    </row>
    <row r="21" spans="2:47" ht="24" customHeight="1" x14ac:dyDescent="0.15">
      <c r="B21" s="1042" t="str">
        <f t="shared" si="0"/>
        <v/>
      </c>
      <c r="C21" s="1042"/>
      <c r="D21" s="1042"/>
      <c r="E21" s="1042"/>
      <c r="F21" s="1042"/>
      <c r="G21" s="1042"/>
      <c r="H21" s="1042"/>
      <c r="I21" s="1042"/>
      <c r="J21" s="1042" t="str">
        <f t="shared" si="1"/>
        <v/>
      </c>
      <c r="K21" s="1042"/>
      <c r="L21" s="1042"/>
      <c r="M21" s="1042"/>
      <c r="N21" s="1042"/>
      <c r="O21" s="1042"/>
      <c r="P21" s="1042"/>
      <c r="Q21" s="1042"/>
      <c r="R21" s="1043" t="str">
        <f t="shared" si="2"/>
        <v/>
      </c>
      <c r="S21" s="1043"/>
      <c r="T21" s="1043"/>
      <c r="U21" s="1043"/>
      <c r="V21" s="1043"/>
      <c r="W21" s="1043"/>
      <c r="X21" s="1043"/>
      <c r="Y21" s="1044" t="str">
        <f t="shared" si="3"/>
        <v/>
      </c>
      <c r="Z21" s="1044"/>
      <c r="AA21" s="1044"/>
      <c r="AB21" s="1045"/>
      <c r="AC21" s="1045"/>
      <c r="AD21" s="1045"/>
      <c r="AE21" s="1045"/>
      <c r="AF21" s="1045"/>
      <c r="AG21" s="1045"/>
      <c r="AH21" s="1045"/>
      <c r="AI21" s="1045"/>
      <c r="AJ21" s="1045"/>
      <c r="AQ21" s="176" t="str">
        <f>IF(②選手登録名簿!T35,ROW(),"")</f>
        <v/>
      </c>
      <c r="AR21" s="176" t="str">
        <f>IF(AQ21&lt;&gt;"",②選手登録名簿!AN35,"")</f>
        <v/>
      </c>
      <c r="AS21" s="176" t="str">
        <f>IF(AQ21&lt;&gt;"",②選手登録名簿!BD35,"")</f>
        <v/>
      </c>
      <c r="AT21" s="177" t="str">
        <f>IF(AQ21&lt;&gt;"",IF(TRIM(②選手登録名簿!N35)="","",②選手登録名簿!N35),"")</f>
        <v/>
      </c>
      <c r="AU21" s="176" t="str">
        <f>IF(AQ21&lt;&gt;"",②選手登録名簿!O35,"")</f>
        <v/>
      </c>
    </row>
    <row r="22" spans="2:47" ht="24" customHeight="1" x14ac:dyDescent="0.15">
      <c r="B22" s="1042" t="str">
        <f t="shared" si="0"/>
        <v/>
      </c>
      <c r="C22" s="1042"/>
      <c r="D22" s="1042"/>
      <c r="E22" s="1042"/>
      <c r="F22" s="1042"/>
      <c r="G22" s="1042"/>
      <c r="H22" s="1042"/>
      <c r="I22" s="1042"/>
      <c r="J22" s="1042" t="str">
        <f t="shared" si="1"/>
        <v/>
      </c>
      <c r="K22" s="1042"/>
      <c r="L22" s="1042"/>
      <c r="M22" s="1042"/>
      <c r="N22" s="1042"/>
      <c r="O22" s="1042"/>
      <c r="P22" s="1042"/>
      <c r="Q22" s="1042"/>
      <c r="R22" s="1043" t="str">
        <f t="shared" si="2"/>
        <v/>
      </c>
      <c r="S22" s="1043"/>
      <c r="T22" s="1043"/>
      <c r="U22" s="1043"/>
      <c r="V22" s="1043"/>
      <c r="W22" s="1043"/>
      <c r="X22" s="1043"/>
      <c r="Y22" s="1044" t="str">
        <f t="shared" si="3"/>
        <v/>
      </c>
      <c r="Z22" s="1044"/>
      <c r="AA22" s="1044"/>
      <c r="AB22" s="1045"/>
      <c r="AC22" s="1045"/>
      <c r="AD22" s="1045"/>
      <c r="AE22" s="1045"/>
      <c r="AF22" s="1045"/>
      <c r="AG22" s="1045"/>
      <c r="AH22" s="1045"/>
      <c r="AI22" s="1045"/>
      <c r="AJ22" s="1045"/>
      <c r="AQ22" s="176" t="str">
        <f>IF(②選手登録名簿!T36,ROW(),"")</f>
        <v/>
      </c>
      <c r="AR22" s="176" t="str">
        <f>IF(AQ22&lt;&gt;"",②選手登録名簿!AN36,"")</f>
        <v/>
      </c>
      <c r="AS22" s="176" t="str">
        <f>IF(AQ22&lt;&gt;"",②選手登録名簿!BD36,"")</f>
        <v/>
      </c>
      <c r="AT22" s="177" t="str">
        <f>IF(AQ22&lt;&gt;"",IF(TRIM(②選手登録名簿!N36)="","",②選手登録名簿!N36),"")</f>
        <v/>
      </c>
      <c r="AU22" s="176" t="str">
        <f>IF(AQ22&lt;&gt;"",②選手登録名簿!O36,"")</f>
        <v/>
      </c>
    </row>
    <row r="23" spans="2:47" ht="24" customHeight="1" x14ac:dyDescent="0.15">
      <c r="B23" s="1042" t="str">
        <f t="shared" si="0"/>
        <v/>
      </c>
      <c r="C23" s="1042"/>
      <c r="D23" s="1042"/>
      <c r="E23" s="1042"/>
      <c r="F23" s="1042"/>
      <c r="G23" s="1042"/>
      <c r="H23" s="1042"/>
      <c r="I23" s="1042"/>
      <c r="J23" s="1042" t="str">
        <f t="shared" si="1"/>
        <v/>
      </c>
      <c r="K23" s="1042"/>
      <c r="L23" s="1042"/>
      <c r="M23" s="1042"/>
      <c r="N23" s="1042"/>
      <c r="O23" s="1042"/>
      <c r="P23" s="1042"/>
      <c r="Q23" s="1042"/>
      <c r="R23" s="1043" t="str">
        <f t="shared" si="2"/>
        <v/>
      </c>
      <c r="S23" s="1043"/>
      <c r="T23" s="1043"/>
      <c r="U23" s="1043"/>
      <c r="V23" s="1043"/>
      <c r="W23" s="1043"/>
      <c r="X23" s="1043"/>
      <c r="Y23" s="1044" t="str">
        <f t="shared" si="3"/>
        <v/>
      </c>
      <c r="Z23" s="1044"/>
      <c r="AA23" s="1044"/>
      <c r="AB23" s="1045"/>
      <c r="AC23" s="1045"/>
      <c r="AD23" s="1045"/>
      <c r="AE23" s="1045"/>
      <c r="AF23" s="1045"/>
      <c r="AG23" s="1045"/>
      <c r="AH23" s="1045"/>
      <c r="AI23" s="1045"/>
      <c r="AJ23" s="1045"/>
      <c r="AQ23" s="176" t="str">
        <f>IF(②選手登録名簿!T37,ROW(),"")</f>
        <v/>
      </c>
      <c r="AR23" s="176" t="str">
        <f>IF(AQ23&lt;&gt;"",②選手登録名簿!AN37,"")</f>
        <v/>
      </c>
      <c r="AS23" s="176" t="str">
        <f>IF(AQ23&lt;&gt;"",②選手登録名簿!BD37,"")</f>
        <v/>
      </c>
      <c r="AT23" s="177" t="str">
        <f>IF(AQ23&lt;&gt;"",IF(TRIM(②選手登録名簿!N37)="","",②選手登録名簿!N37),"")</f>
        <v/>
      </c>
      <c r="AU23" s="176" t="str">
        <f>IF(AQ23&lt;&gt;"",②選手登録名簿!O37,"")</f>
        <v/>
      </c>
    </row>
    <row r="24" spans="2:47" ht="24" customHeight="1" x14ac:dyDescent="0.15">
      <c r="B24" s="1042" t="str">
        <f t="shared" si="0"/>
        <v/>
      </c>
      <c r="C24" s="1042"/>
      <c r="D24" s="1042"/>
      <c r="E24" s="1042"/>
      <c r="F24" s="1042"/>
      <c r="G24" s="1042"/>
      <c r="H24" s="1042"/>
      <c r="I24" s="1042"/>
      <c r="J24" s="1042" t="str">
        <f t="shared" si="1"/>
        <v/>
      </c>
      <c r="K24" s="1042"/>
      <c r="L24" s="1042"/>
      <c r="M24" s="1042"/>
      <c r="N24" s="1042"/>
      <c r="O24" s="1042"/>
      <c r="P24" s="1042"/>
      <c r="Q24" s="1042"/>
      <c r="R24" s="1043" t="str">
        <f t="shared" si="2"/>
        <v/>
      </c>
      <c r="S24" s="1043"/>
      <c r="T24" s="1043"/>
      <c r="U24" s="1043"/>
      <c r="V24" s="1043"/>
      <c r="W24" s="1043"/>
      <c r="X24" s="1043"/>
      <c r="Y24" s="1044" t="str">
        <f t="shared" si="3"/>
        <v/>
      </c>
      <c r="Z24" s="1044"/>
      <c r="AA24" s="1044"/>
      <c r="AB24" s="1045"/>
      <c r="AC24" s="1045"/>
      <c r="AD24" s="1045"/>
      <c r="AE24" s="1045"/>
      <c r="AF24" s="1045"/>
      <c r="AG24" s="1045"/>
      <c r="AH24" s="1045"/>
      <c r="AI24" s="1045"/>
      <c r="AJ24" s="1045"/>
      <c r="AQ24" s="176" t="str">
        <f>IF(②選手登録名簿!T38,ROW(),"")</f>
        <v/>
      </c>
      <c r="AR24" s="176" t="str">
        <f>IF(AQ24&lt;&gt;"",②選手登録名簿!AN38,"")</f>
        <v/>
      </c>
      <c r="AS24" s="176" t="str">
        <f>IF(AQ24&lt;&gt;"",②選手登録名簿!BD38,"")</f>
        <v/>
      </c>
      <c r="AT24" s="177" t="str">
        <f>IF(AQ24&lt;&gt;"",IF(TRIM(②選手登録名簿!N38)="","",②選手登録名簿!N38),"")</f>
        <v/>
      </c>
      <c r="AU24" s="176" t="str">
        <f>IF(AQ24&lt;&gt;"",②選手登録名簿!O38,"")</f>
        <v/>
      </c>
    </row>
    <row r="25" spans="2:47" ht="24" customHeight="1" x14ac:dyDescent="0.15">
      <c r="B25" s="1058" t="str">
        <f t="shared" si="0"/>
        <v/>
      </c>
      <c r="C25" s="1058"/>
      <c r="D25" s="1058"/>
      <c r="E25" s="1058"/>
      <c r="F25" s="1058"/>
      <c r="G25" s="1058"/>
      <c r="H25" s="1058"/>
      <c r="I25" s="1058"/>
      <c r="J25" s="1058" t="str">
        <f t="shared" si="1"/>
        <v/>
      </c>
      <c r="K25" s="1058"/>
      <c r="L25" s="1058"/>
      <c r="M25" s="1058"/>
      <c r="N25" s="1058"/>
      <c r="O25" s="1058"/>
      <c r="P25" s="1058"/>
      <c r="Q25" s="1058"/>
      <c r="R25" s="1059" t="str">
        <f>IF(COUNT($AQ$8:$AQ$25)&lt;ROW(A18),"",INDEX($AT$8:$AT$25,SMALL($AQ$8:$AQ$25,ROW(A18))-ROW($A$8)+1))</f>
        <v/>
      </c>
      <c r="S25" s="1059"/>
      <c r="T25" s="1059"/>
      <c r="U25" s="1059"/>
      <c r="V25" s="1059"/>
      <c r="W25" s="1059"/>
      <c r="X25" s="1059"/>
      <c r="Y25" s="1060" t="str">
        <f t="shared" si="3"/>
        <v/>
      </c>
      <c r="Z25" s="1060"/>
      <c r="AA25" s="1060"/>
      <c r="AB25" s="1061"/>
      <c r="AC25" s="1061"/>
      <c r="AD25" s="1061"/>
      <c r="AE25" s="1061"/>
      <c r="AF25" s="1061"/>
      <c r="AG25" s="1061"/>
      <c r="AH25" s="1061"/>
      <c r="AI25" s="1061"/>
      <c r="AJ25" s="1061"/>
      <c r="AQ25" s="176" t="str">
        <f>IF(②選手登録名簿!T39,ROW(),"")</f>
        <v/>
      </c>
      <c r="AR25" s="176" t="str">
        <f>IF(AQ25&lt;&gt;"",②選手登録名簿!AN39,"")</f>
        <v/>
      </c>
      <c r="AS25" s="176" t="str">
        <f>IF(AQ25&lt;&gt;"",②選手登録名簿!BD39,"")</f>
        <v/>
      </c>
      <c r="AT25" s="177" t="str">
        <f>IF(AQ25&lt;&gt;"",IF(TRIM(②選手登録名簿!N39)="","",②選手登録名簿!N39),"")</f>
        <v/>
      </c>
      <c r="AU25" s="176" t="str">
        <f>IF(AQ25&lt;&gt;"",②選手登録名簿!O39,"")</f>
        <v/>
      </c>
    </row>
    <row r="27" spans="2:47" x14ac:dyDescent="0.15">
      <c r="Q27" s="178" t="s">
        <v>532</v>
      </c>
      <c r="R27" s="178"/>
    </row>
    <row r="29" spans="2:47" ht="17.25" customHeight="1" x14ac:dyDescent="0.15"/>
  </sheetData>
  <sheetProtection sheet="1" objects="1" scenarios="1"/>
  <mergeCells count="104">
    <mergeCell ref="B25:I25"/>
    <mergeCell ref="J25:Q25"/>
    <mergeCell ref="R25:X25"/>
    <mergeCell ref="Y25:AA25"/>
    <mergeCell ref="AB25:AJ25"/>
    <mergeCell ref="AB15:AJ15"/>
    <mergeCell ref="B14:I14"/>
    <mergeCell ref="J14:Q14"/>
    <mergeCell ref="R14:X14"/>
    <mergeCell ref="Y14:AA14"/>
    <mergeCell ref="AB14:AJ14"/>
    <mergeCell ref="B24:I24"/>
    <mergeCell ref="J24:Q24"/>
    <mergeCell ref="R24:X24"/>
    <mergeCell ref="Y24:AA24"/>
    <mergeCell ref="AB24:AJ24"/>
    <mergeCell ref="Y20:AA20"/>
    <mergeCell ref="AB20:AJ20"/>
    <mergeCell ref="B15:I15"/>
    <mergeCell ref="J15:Q15"/>
    <mergeCell ref="R15:X15"/>
    <mergeCell ref="Y15:AA15"/>
    <mergeCell ref="B19:I19"/>
    <mergeCell ref="J19:Q19"/>
    <mergeCell ref="B1:AJ1"/>
    <mergeCell ref="E2:AG2"/>
    <mergeCell ref="B12:I12"/>
    <mergeCell ref="J12:Q12"/>
    <mergeCell ref="R12:X12"/>
    <mergeCell ref="Y12:AA12"/>
    <mergeCell ref="AB12:AJ12"/>
    <mergeCell ref="Y11:AA11"/>
    <mergeCell ref="AB11:AJ11"/>
    <mergeCell ref="AB5:AJ6"/>
    <mergeCell ref="B9:I9"/>
    <mergeCell ref="J9:Q9"/>
    <mergeCell ref="R9:X9"/>
    <mergeCell ref="Y9:AA9"/>
    <mergeCell ref="AB9:AJ9"/>
    <mergeCell ref="B10:I10"/>
    <mergeCell ref="J10:Q10"/>
    <mergeCell ref="R10:X10"/>
    <mergeCell ref="B5:I6"/>
    <mergeCell ref="J5:Q6"/>
    <mergeCell ref="R5:X6"/>
    <mergeCell ref="R7:X7"/>
    <mergeCell ref="Y5:AA6"/>
    <mergeCell ref="B7:I7"/>
    <mergeCell ref="J7:Q7"/>
    <mergeCell ref="AB7:AJ7"/>
    <mergeCell ref="B8:I8"/>
    <mergeCell ref="Y7:AA7"/>
    <mergeCell ref="J8:Q8"/>
    <mergeCell ref="R8:X8"/>
    <mergeCell ref="Y8:AA8"/>
    <mergeCell ref="AB8:AJ8"/>
    <mergeCell ref="AB18:AJ18"/>
    <mergeCell ref="B13:I13"/>
    <mergeCell ref="J13:Q13"/>
    <mergeCell ref="R13:X13"/>
    <mergeCell ref="Y13:AA13"/>
    <mergeCell ref="AB13:AJ13"/>
    <mergeCell ref="Y10:AA10"/>
    <mergeCell ref="AB10:AJ10"/>
    <mergeCell ref="B11:I11"/>
    <mergeCell ref="J11:Q11"/>
    <mergeCell ref="R11:X11"/>
    <mergeCell ref="R19:X19"/>
    <mergeCell ref="Y19:AA19"/>
    <mergeCell ref="AB19:AJ19"/>
    <mergeCell ref="B16:I16"/>
    <mergeCell ref="J16:Q16"/>
    <mergeCell ref="R16:X16"/>
    <mergeCell ref="Y16:AA16"/>
    <mergeCell ref="AB16:AJ16"/>
    <mergeCell ref="B17:I17"/>
    <mergeCell ref="J17:Q17"/>
    <mergeCell ref="R17:X17"/>
    <mergeCell ref="Y17:AA17"/>
    <mergeCell ref="AB17:AJ17"/>
    <mergeCell ref="B23:I23"/>
    <mergeCell ref="J23:Q23"/>
    <mergeCell ref="R23:X23"/>
    <mergeCell ref="Y23:AA23"/>
    <mergeCell ref="AB23:AJ23"/>
    <mergeCell ref="B3:F3"/>
    <mergeCell ref="G3:AI3"/>
    <mergeCell ref="B20:I20"/>
    <mergeCell ref="J20:Q20"/>
    <mergeCell ref="R20:X20"/>
    <mergeCell ref="B21:I21"/>
    <mergeCell ref="J21:Q21"/>
    <mergeCell ref="R21:X21"/>
    <mergeCell ref="Y21:AA21"/>
    <mergeCell ref="AB21:AJ21"/>
    <mergeCell ref="B22:I22"/>
    <mergeCell ref="J22:Q22"/>
    <mergeCell ref="R22:X22"/>
    <mergeCell ref="Y22:AA22"/>
    <mergeCell ref="AB22:AJ22"/>
    <mergeCell ref="B18:I18"/>
    <mergeCell ref="J18:Q18"/>
    <mergeCell ref="R18:X18"/>
    <mergeCell ref="Y18:AA18"/>
  </mergeCells>
  <phoneticPr fontId="8"/>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38</vt:i4>
      </vt:variant>
    </vt:vector>
  </HeadingPairs>
  <TitlesOfParts>
    <vt:vector size="49" baseType="lpstr">
      <vt:lpstr>MY_NAME_DEF</vt:lpstr>
      <vt:lpstr>MY_MATRIX</vt:lpstr>
      <vt:lpstr>ファイルの説明</vt:lpstr>
      <vt:lpstr>参加者登録申込書</vt:lpstr>
      <vt:lpstr>①大会参加申込書</vt:lpstr>
      <vt:lpstr>②選手登録名簿</vt:lpstr>
      <vt:lpstr>③出場者一覧</vt:lpstr>
      <vt:lpstr>④診断リスト</vt:lpstr>
      <vt:lpstr>⑤傷害保険加入者一覧</vt:lpstr>
      <vt:lpstr>【自動入力】エントリーシート</vt:lpstr>
      <vt:lpstr>背番号変更名簿</vt:lpstr>
      <vt:lpstr>JDVA会員登録状況</vt:lpstr>
      <vt:lpstr>ＰＣドメイン候補</vt:lpstr>
      <vt:lpstr>ＰＣ携帯ドメイン候補</vt:lpstr>
      <vt:lpstr>【自動入力】エントリーシート!Print_Area</vt:lpstr>
      <vt:lpstr>①大会参加申込書!Print_Area</vt:lpstr>
      <vt:lpstr>②選手登録名簿!Print_Area</vt:lpstr>
      <vt:lpstr>③出場者一覧!Print_Area</vt:lpstr>
      <vt:lpstr>④診断リスト!Print_Area</vt:lpstr>
      <vt:lpstr>⑤傷害保険加入者一覧!Print_Area</vt:lpstr>
      <vt:lpstr>ファイルの説明!Print_Area</vt:lpstr>
      <vt:lpstr>参加者登録申込書!Print_Area</vt:lpstr>
      <vt:lpstr>背番号変更名簿!Print_Area</vt:lpstr>
      <vt:lpstr>②選手登録名簿!Print_Titles</vt:lpstr>
      <vt:lpstr>参加者登録申込書!Print_Titles</vt:lpstr>
      <vt:lpstr>スタッフ選択0</vt:lpstr>
      <vt:lpstr>スタッフ選択1</vt:lpstr>
      <vt:lpstr>スタッフ選択10</vt:lpstr>
      <vt:lpstr>スタッフ選択11</vt:lpstr>
      <vt:lpstr>スタッフ選択12</vt:lpstr>
      <vt:lpstr>スタッフ選択13</vt:lpstr>
      <vt:lpstr>スタッフ選択14</vt:lpstr>
      <vt:lpstr>スタッフ選択15</vt:lpstr>
      <vt:lpstr>スタッフ選択2</vt:lpstr>
      <vt:lpstr>スタッフ選択3</vt:lpstr>
      <vt:lpstr>スタッフ選択4</vt:lpstr>
      <vt:lpstr>スタッフ選択5</vt:lpstr>
      <vt:lpstr>スタッフ選択6</vt:lpstr>
      <vt:lpstr>スタッフ選択7</vt:lpstr>
      <vt:lpstr>スタッフ選択8</vt:lpstr>
      <vt:lpstr>スタッフ選択9</vt:lpstr>
      <vt:lpstr>チーム構成</vt:lpstr>
      <vt:lpstr>会員区分</vt:lpstr>
      <vt:lpstr>会費</vt:lpstr>
      <vt:lpstr>携帯ドメイン候補</vt:lpstr>
      <vt:lpstr>県名</vt:lpstr>
      <vt:lpstr>参加料</vt:lpstr>
      <vt:lpstr>参加料スタッフのみ</vt:lpstr>
      <vt:lpstr>選択なし</vt:lpstr>
    </vt:vector>
  </TitlesOfParts>
  <Company>富士ソフト企画（FSK）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JDVA申込書</dc:title>
  <dc:subject>ジャパンデフバレーボールカップ</dc:subject>
  <dc:creator>田村 公信</dc:creator>
  <dc:description>JDVA19R003</dc:description>
  <cp:lastModifiedBy>takata hiroaki</cp:lastModifiedBy>
  <cp:lastPrinted>2023-11-22T09:12:57Z</cp:lastPrinted>
  <dcterms:created xsi:type="dcterms:W3CDTF">2006-09-16T00:00:00Z</dcterms:created>
  <dcterms:modified xsi:type="dcterms:W3CDTF">2023-11-22T09:13:21Z</dcterms:modified>
</cp:coreProperties>
</file>